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tabRatio="732" activeTab="1"/>
  </bookViews>
  <sheets>
    <sheet name="Variabili per unità misura" sheetId="2" r:id="rId1"/>
    <sheet name="Variabili gestione Residenza" sheetId="3" r:id="rId2"/>
    <sheet name="Costi-Ricavi_Anno1" sheetId="4" r:id="rId3"/>
    <sheet name="Costi-Ricavi_Anno2e3" sheetId="14" r:id="rId4"/>
    <sheet name="Costi-Ricavi_Anno4_5_6" sheetId="15" r:id="rId5"/>
    <sheet name="Var temp" sheetId="5" r:id="rId6"/>
    <sheet name="IRR" sheetId="6" r:id="rId7"/>
    <sheet name="Sintesi HP_1" sheetId="7" state="hidden" r:id="rId8"/>
    <sheet name="Sintesi HP_2" sheetId="8" state="hidden" r:id="rId9"/>
    <sheet name="CAPM" sheetId="9" state="hidden" r:id="rId10"/>
    <sheet name="Foglio5" sheetId="10" state="hidden" r:id="rId11"/>
    <sheet name="Foglio3" sheetId="11" state="hidden" r:id="rId12"/>
    <sheet name="Pres_ottica Ca' Foscari" sheetId="12" state="hidden" r:id="rId13"/>
    <sheet name="Foglio1" sheetId="13" state="hidden" r:id="rId14"/>
  </sheets>
  <definedNames>
    <definedName name="_xlnm.Print_Area" localSheetId="2">'Costi-Ricavi_Anno1'!$A$4:$H$57</definedName>
    <definedName name="_xlnm.Print_Area" localSheetId="3">'Costi-Ricavi_Anno2e3'!$A$4:$E$57</definedName>
    <definedName name="_xlnm.Print_Area" localSheetId="4">'Costi-Ricavi_Anno4_5_6'!$A$4:$H$57</definedName>
    <definedName name="_xlnm.Print_Area" localSheetId="6">IRR!$A$4:$K$57</definedName>
    <definedName name="_xlnm.Print_Area" localSheetId="5">'Var temp'!$A$1:$I$42</definedName>
    <definedName name="_xlnm.Print_Area" localSheetId="1">'Variabili gestione Residenza'!$A$5:$I$46</definedName>
    <definedName name="_xlnm.Print_Area" localSheetId="0">'Variabili per unità misura'!$A$1:$K$120</definedName>
    <definedName name="Inflazione">#REF!</definedName>
    <definedName name="Inflazione_HP1">#REF!</definedName>
    <definedName name="Inflazione_HP2">#REF!</definedName>
    <definedName name="IRR" localSheetId="8">#REF!</definedName>
    <definedName name="IRR">#REF!</definedName>
    <definedName name="IRR_HP1">#REF!</definedName>
    <definedName name="IRR_HP2" localSheetId="8">#REF!</definedName>
    <definedName name="IRR_HP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3" l="1"/>
  <c r="C26" i="3"/>
  <c r="C25" i="3"/>
  <c r="C18" i="3"/>
  <c r="C17" i="3"/>
  <c r="C16" i="3"/>
  <c r="B15" i="2" l="1"/>
  <c r="B27" i="15" l="1"/>
  <c r="B27" i="14"/>
  <c r="B27" i="4"/>
  <c r="B26" i="4"/>
  <c r="D11" i="2"/>
  <c r="A24" i="5" l="1"/>
  <c r="B80" i="2" l="1"/>
  <c r="B114" i="2" l="1"/>
  <c r="B111" i="2"/>
  <c r="B83" i="2"/>
  <c r="B82" i="2"/>
  <c r="B71" i="2"/>
  <c r="B70" i="2"/>
  <c r="B67" i="2"/>
  <c r="B66" i="2"/>
  <c r="B62" i="2"/>
  <c r="B59" i="2"/>
  <c r="B58" i="2"/>
  <c r="H62" i="2"/>
  <c r="H58" i="2"/>
  <c r="H54" i="2"/>
  <c r="B54" i="2"/>
  <c r="F63" i="2"/>
  <c r="B63" i="2" s="1"/>
  <c r="F59" i="2"/>
  <c r="H59" i="2" s="1"/>
  <c r="F55" i="2"/>
  <c r="B55" i="2" s="1"/>
  <c r="H63" i="2" l="1"/>
  <c r="H55" i="2"/>
  <c r="A54" i="15"/>
  <c r="A53" i="15"/>
  <c r="A51" i="15"/>
  <c r="B29" i="15"/>
  <c r="B26" i="15"/>
  <c r="A54" i="14"/>
  <c r="A53" i="14"/>
  <c r="A51" i="14"/>
  <c r="B29" i="14"/>
  <c r="B26" i="14"/>
  <c r="B6" i="2" l="1"/>
  <c r="F31" i="5" l="1"/>
  <c r="G31" i="5"/>
  <c r="H31" i="5"/>
  <c r="A55" i="6" l="1"/>
  <c r="B29" i="4"/>
  <c r="B44" i="3"/>
  <c r="B113" i="2"/>
  <c r="B8" i="2" l="1"/>
  <c r="B90" i="2"/>
  <c r="B95" i="2"/>
  <c r="B100" i="2"/>
  <c r="B25" i="2"/>
  <c r="C46" i="2"/>
  <c r="B22" i="2" s="1"/>
  <c r="C47" i="2"/>
  <c r="B23" i="2" s="1"/>
  <c r="C48" i="2"/>
  <c r="B24" i="2" s="1"/>
  <c r="B18" i="2"/>
  <c r="B14" i="3"/>
  <c r="B41" i="3"/>
  <c r="B45" i="3"/>
  <c r="B23" i="3"/>
  <c r="B46" i="3"/>
  <c r="E80" i="2"/>
  <c r="E82" i="2"/>
  <c r="B119" i="2" s="1"/>
  <c r="E83" i="2"/>
  <c r="D83" i="2" s="1"/>
  <c r="D16" i="5"/>
  <c r="D17" i="5"/>
  <c r="E16" i="5"/>
  <c r="E17" i="5"/>
  <c r="F17" i="5" s="1"/>
  <c r="G17" i="5" s="1"/>
  <c r="H17" i="5" s="1"/>
  <c r="F16" i="5"/>
  <c r="E55" i="2"/>
  <c r="B43" i="3"/>
  <c r="D7" i="5"/>
  <c r="E58" i="2"/>
  <c r="E59" i="2"/>
  <c r="D59" i="2" s="1"/>
  <c r="D10" i="5"/>
  <c r="E62" i="2"/>
  <c r="D62" i="2" s="1"/>
  <c r="E63" i="2"/>
  <c r="D63" i="2" s="1"/>
  <c r="D13" i="5"/>
  <c r="E67" i="2"/>
  <c r="E7" i="5"/>
  <c r="E10" i="5"/>
  <c r="E13" i="5"/>
  <c r="F7" i="5"/>
  <c r="F10" i="5"/>
  <c r="F13" i="5"/>
  <c r="G7" i="5"/>
  <c r="H7" i="5"/>
  <c r="A54" i="4"/>
  <c r="A38" i="6" s="1"/>
  <c r="B42" i="5"/>
  <c r="C42" i="5"/>
  <c r="D42" i="5"/>
  <c r="E42" i="5"/>
  <c r="F42" i="5"/>
  <c r="G42" i="5"/>
  <c r="H42" i="5"/>
  <c r="E54" i="2"/>
  <c r="D54" i="2" s="1"/>
  <c r="E70" i="2"/>
  <c r="E71" i="2"/>
  <c r="K7" i="12"/>
  <c r="L5" i="12" s="1"/>
  <c r="E7" i="12"/>
  <c r="D3" i="12" s="1"/>
  <c r="D5" i="12"/>
  <c r="L4" i="12"/>
  <c r="I21" i="11"/>
  <c r="H21" i="11"/>
  <c r="F21" i="11"/>
  <c r="D21" i="11"/>
  <c r="I20" i="11"/>
  <c r="H20" i="11"/>
  <c r="F20" i="11"/>
  <c r="D20" i="11"/>
  <c r="G19" i="11"/>
  <c r="I19" i="11" s="1"/>
  <c r="C19" i="11"/>
  <c r="D19" i="11" s="1"/>
  <c r="E19" i="11"/>
  <c r="F19" i="11" s="1"/>
  <c r="I18" i="11"/>
  <c r="H18" i="11"/>
  <c r="F18" i="11"/>
  <c r="D18" i="11"/>
  <c r="G17" i="11"/>
  <c r="C17" i="11"/>
  <c r="D17" i="11" s="1"/>
  <c r="E17" i="11"/>
  <c r="F17" i="11" s="1"/>
  <c r="I16" i="11"/>
  <c r="H16" i="11"/>
  <c r="F16" i="11"/>
  <c r="D16" i="11"/>
  <c r="C7" i="11"/>
  <c r="C12" i="11" s="1"/>
  <c r="D12" i="11" s="1"/>
  <c r="C11" i="11"/>
  <c r="D3" i="9"/>
  <c r="C9" i="10"/>
  <c r="B9" i="10"/>
  <c r="B10" i="9"/>
  <c r="B14" i="9" s="1"/>
  <c r="B55" i="8"/>
  <c r="B53" i="8"/>
  <c r="H50" i="8"/>
  <c r="G50" i="8"/>
  <c r="F50" i="8"/>
  <c r="E50" i="8"/>
  <c r="D50" i="8"/>
  <c r="C50" i="8"/>
  <c r="B50" i="8"/>
  <c r="G48" i="8"/>
  <c r="F48" i="8"/>
  <c r="E48" i="8"/>
  <c r="D48" i="8"/>
  <c r="C48" i="8"/>
  <c r="B48" i="8"/>
  <c r="H44" i="8"/>
  <c r="H41" i="8"/>
  <c r="G43" i="8"/>
  <c r="G42" i="8"/>
  <c r="G34" i="8"/>
  <c r="G41" i="8" s="1"/>
  <c r="F43" i="8"/>
  <c r="F44" i="8" s="1"/>
  <c r="F42" i="8"/>
  <c r="F34" i="8"/>
  <c r="F41" i="8" s="1"/>
  <c r="E43" i="8"/>
  <c r="E42" i="8"/>
  <c r="E34" i="8"/>
  <c r="E41" i="8" s="1"/>
  <c r="D43" i="8"/>
  <c r="D42" i="8"/>
  <c r="D34" i="8"/>
  <c r="D41" i="8" s="1"/>
  <c r="C43" i="8"/>
  <c r="C42" i="8"/>
  <c r="C44" i="8" s="1"/>
  <c r="C34" i="8"/>
  <c r="C41" i="8" s="1"/>
  <c r="B43" i="8"/>
  <c r="B42" i="8"/>
  <c r="B34" i="8"/>
  <c r="B41" i="8" s="1"/>
  <c r="A47" i="7"/>
  <c r="A46" i="8" s="1"/>
  <c r="A45" i="7"/>
  <c r="A44" i="8" s="1"/>
  <c r="A44" i="7"/>
  <c r="A43" i="8" s="1"/>
  <c r="A43" i="7"/>
  <c r="A42" i="8" s="1"/>
  <c r="A41" i="8"/>
  <c r="G40" i="8"/>
  <c r="F40" i="8"/>
  <c r="E40" i="8"/>
  <c r="D40" i="8"/>
  <c r="C40" i="8"/>
  <c r="B40" i="8"/>
  <c r="G39" i="8"/>
  <c r="F39" i="8"/>
  <c r="E39" i="8"/>
  <c r="D39" i="8"/>
  <c r="C39" i="8"/>
  <c r="B39" i="8"/>
  <c r="G38" i="8"/>
  <c r="F38" i="8"/>
  <c r="E38" i="8"/>
  <c r="D38" i="8"/>
  <c r="C38" i="8"/>
  <c r="B38" i="8"/>
  <c r="G37" i="8"/>
  <c r="F37" i="8"/>
  <c r="E37" i="8"/>
  <c r="D37" i="8"/>
  <c r="C37" i="8"/>
  <c r="B37" i="8"/>
  <c r="G36" i="8"/>
  <c r="F36" i="8"/>
  <c r="E36" i="8"/>
  <c r="D36" i="8"/>
  <c r="C36" i="8"/>
  <c r="B36" i="8"/>
  <c r="G35" i="8"/>
  <c r="F35" i="8"/>
  <c r="E35" i="8"/>
  <c r="D35" i="8"/>
  <c r="C35" i="8"/>
  <c r="B35" i="8"/>
  <c r="H29" i="8"/>
  <c r="H22" i="8"/>
  <c r="G24" i="8"/>
  <c r="G29" i="8" s="1"/>
  <c r="G21" i="8"/>
  <c r="G20" i="8"/>
  <c r="G19" i="8"/>
  <c r="G18" i="8"/>
  <c r="G17" i="8"/>
  <c r="G16" i="8"/>
  <c r="G15" i="8"/>
  <c r="F24" i="8"/>
  <c r="F29" i="8" s="1"/>
  <c r="F21" i="8"/>
  <c r="F20" i="8"/>
  <c r="F19" i="8"/>
  <c r="F18" i="8"/>
  <c r="F17" i="8"/>
  <c r="F16" i="8"/>
  <c r="F15" i="8"/>
  <c r="E24" i="8"/>
  <c r="E29" i="8" s="1"/>
  <c r="E21" i="8"/>
  <c r="E20" i="8"/>
  <c r="E19" i="8"/>
  <c r="E18" i="8"/>
  <c r="E17" i="8"/>
  <c r="E16" i="8"/>
  <c r="E15" i="8"/>
  <c r="D24" i="8"/>
  <c r="D29" i="8" s="1"/>
  <c r="D21" i="8"/>
  <c r="D20" i="8"/>
  <c r="D19" i="8"/>
  <c r="D18" i="8"/>
  <c r="D17" i="8"/>
  <c r="D16" i="8"/>
  <c r="D15" i="8"/>
  <c r="C24" i="8"/>
  <c r="C29" i="8" s="1"/>
  <c r="C21" i="8"/>
  <c r="C20" i="8"/>
  <c r="C19" i="8"/>
  <c r="C18" i="8"/>
  <c r="C17" i="8"/>
  <c r="C16" i="8"/>
  <c r="C15" i="8"/>
  <c r="B24" i="8"/>
  <c r="B29" i="8" s="1"/>
  <c r="B21" i="8"/>
  <c r="B20" i="8"/>
  <c r="B19" i="8"/>
  <c r="B18" i="8"/>
  <c r="B17" i="8"/>
  <c r="B16" i="8"/>
  <c r="B15" i="8"/>
  <c r="A29" i="8"/>
  <c r="G28" i="8"/>
  <c r="F28" i="8"/>
  <c r="E28" i="8"/>
  <c r="D28" i="8"/>
  <c r="C28" i="8"/>
  <c r="B28" i="8"/>
  <c r="G27" i="8"/>
  <c r="F27" i="8"/>
  <c r="E27" i="8"/>
  <c r="D27" i="8"/>
  <c r="C27" i="8"/>
  <c r="B27" i="8"/>
  <c r="G26" i="8"/>
  <c r="F26" i="8"/>
  <c r="E26" i="8"/>
  <c r="D26" i="8"/>
  <c r="C26" i="8"/>
  <c r="B26" i="8"/>
  <c r="G25" i="8"/>
  <c r="F25" i="8"/>
  <c r="E25" i="8"/>
  <c r="D25" i="8"/>
  <c r="C25" i="8"/>
  <c r="B25" i="8"/>
  <c r="A22" i="8"/>
  <c r="H9" i="8"/>
  <c r="H12" i="8" s="1"/>
  <c r="G3" i="8"/>
  <c r="G5" i="8"/>
  <c r="G9" i="8" s="1"/>
  <c r="F3" i="8"/>
  <c r="F5" i="8"/>
  <c r="F9" i="8" s="1"/>
  <c r="E3" i="8"/>
  <c r="E5" i="8"/>
  <c r="E9" i="8" s="1"/>
  <c r="D3" i="8"/>
  <c r="D5" i="8"/>
  <c r="D9" i="8" s="1"/>
  <c r="C11" i="8"/>
  <c r="C3" i="8"/>
  <c r="C5" i="8"/>
  <c r="C9" i="8" s="1"/>
  <c r="B11" i="8"/>
  <c r="B3" i="8"/>
  <c r="B5" i="8"/>
  <c r="B9" i="8" s="1"/>
  <c r="A12" i="8"/>
  <c r="A11" i="8"/>
  <c r="G10" i="8"/>
  <c r="F10" i="8"/>
  <c r="E10" i="8"/>
  <c r="D10" i="8"/>
  <c r="C10" i="8"/>
  <c r="B10" i="8"/>
  <c r="A9" i="8"/>
  <c r="G8" i="8"/>
  <c r="F8" i="8"/>
  <c r="E8" i="8"/>
  <c r="D8" i="8"/>
  <c r="C8" i="8"/>
  <c r="B8" i="8"/>
  <c r="G7" i="8"/>
  <c r="F7" i="8"/>
  <c r="E7" i="8"/>
  <c r="D7" i="8"/>
  <c r="C7" i="8"/>
  <c r="B7" i="8"/>
  <c r="G6" i="8"/>
  <c r="F6" i="8"/>
  <c r="E6" i="8"/>
  <c r="D6" i="8"/>
  <c r="C6" i="8"/>
  <c r="B6" i="8"/>
  <c r="A3" i="8"/>
  <c r="G2" i="8"/>
  <c r="B56" i="7"/>
  <c r="B54" i="7"/>
  <c r="H51" i="7"/>
  <c r="H3" i="7" s="1"/>
  <c r="H13" i="7" s="1"/>
  <c r="G51" i="7"/>
  <c r="F51" i="7"/>
  <c r="E51" i="7"/>
  <c r="D51" i="7"/>
  <c r="C51" i="7"/>
  <c r="B51" i="7"/>
  <c r="G49" i="7"/>
  <c r="F49" i="7"/>
  <c r="E49" i="7"/>
  <c r="D49" i="7"/>
  <c r="C49" i="7"/>
  <c r="B49" i="7"/>
  <c r="H45" i="7"/>
  <c r="H42" i="7"/>
  <c r="G44" i="7"/>
  <c r="G43" i="7"/>
  <c r="E28" i="5"/>
  <c r="E29" i="5"/>
  <c r="E30" i="5"/>
  <c r="E32" i="5"/>
  <c r="E33" i="5"/>
  <c r="E36" i="5"/>
  <c r="F44" i="7"/>
  <c r="F43" i="7"/>
  <c r="D28" i="5"/>
  <c r="D29" i="5"/>
  <c r="D30" i="5"/>
  <c r="D32" i="5"/>
  <c r="D33" i="5"/>
  <c r="D36" i="5"/>
  <c r="E44" i="7"/>
  <c r="E43" i="7"/>
  <c r="C28" i="5"/>
  <c r="C29" i="5"/>
  <c r="C30" i="5"/>
  <c r="C32" i="5"/>
  <c r="C26" i="6" s="1"/>
  <c r="C33" i="5"/>
  <c r="C36" i="5"/>
  <c r="D44" i="7"/>
  <c r="D43" i="7"/>
  <c r="D35" i="7"/>
  <c r="D42" i="7" s="1"/>
  <c r="C44" i="7"/>
  <c r="C43" i="7"/>
  <c r="C35" i="7"/>
  <c r="C42" i="7" s="1"/>
  <c r="B44" i="7"/>
  <c r="B43" i="7"/>
  <c r="B28" i="5"/>
  <c r="B29" i="5"/>
  <c r="B30" i="5"/>
  <c r="B31" i="5"/>
  <c r="B32" i="5"/>
  <c r="B26" i="6"/>
  <c r="B39" i="7" s="1"/>
  <c r="B33" i="5"/>
  <c r="B36" i="5"/>
  <c r="A42" i="7"/>
  <c r="D41" i="7"/>
  <c r="C41" i="7"/>
  <c r="D40" i="7"/>
  <c r="C40" i="7"/>
  <c r="D39" i="7"/>
  <c r="C39" i="7"/>
  <c r="D38" i="7"/>
  <c r="C38" i="7"/>
  <c r="D37" i="7"/>
  <c r="C37" i="7"/>
  <c r="D36" i="7"/>
  <c r="C36" i="7"/>
  <c r="H25" i="7"/>
  <c r="H30" i="7" s="1"/>
  <c r="H22" i="7"/>
  <c r="H21" i="7"/>
  <c r="H20" i="7"/>
  <c r="H19" i="7"/>
  <c r="H18" i="7"/>
  <c r="H17" i="7"/>
  <c r="H16" i="7"/>
  <c r="G25" i="7"/>
  <c r="G30" i="7" s="1"/>
  <c r="G22" i="7"/>
  <c r="G21" i="7"/>
  <c r="G20" i="7"/>
  <c r="G19" i="7"/>
  <c r="G18" i="7"/>
  <c r="G17" i="7"/>
  <c r="G16" i="7"/>
  <c r="F25" i="7"/>
  <c r="F30" i="7" s="1"/>
  <c r="F22" i="7"/>
  <c r="F21" i="7"/>
  <c r="F20" i="7"/>
  <c r="F19" i="7"/>
  <c r="F18" i="7"/>
  <c r="F17" i="7"/>
  <c r="F16" i="7"/>
  <c r="E25" i="7"/>
  <c r="E30" i="7" s="1"/>
  <c r="E22" i="7"/>
  <c r="E21" i="7"/>
  <c r="E20" i="7"/>
  <c r="E19" i="7"/>
  <c r="E18" i="7"/>
  <c r="E17" i="7"/>
  <c r="E16" i="7"/>
  <c r="D25" i="7"/>
  <c r="D30" i="7" s="1"/>
  <c r="D22" i="7"/>
  <c r="D21" i="7"/>
  <c r="D20" i="7"/>
  <c r="D19" i="7"/>
  <c r="D18" i="7"/>
  <c r="D17" i="7"/>
  <c r="D16" i="7"/>
  <c r="C25" i="7"/>
  <c r="C30" i="7" s="1"/>
  <c r="C22" i="7"/>
  <c r="C21" i="7"/>
  <c r="C20" i="7"/>
  <c r="C19" i="7"/>
  <c r="C18" i="7"/>
  <c r="C17" i="7"/>
  <c r="C16" i="7"/>
  <c r="B25" i="7"/>
  <c r="B30" i="7" s="1"/>
  <c r="B22" i="7"/>
  <c r="B21" i="7"/>
  <c r="B20" i="7"/>
  <c r="B19" i="7"/>
  <c r="B18" i="7"/>
  <c r="B17" i="7"/>
  <c r="B16" i="7"/>
  <c r="A30" i="7"/>
  <c r="H29" i="7"/>
  <c r="G29" i="7"/>
  <c r="F29" i="7"/>
  <c r="E29" i="7"/>
  <c r="D29" i="7"/>
  <c r="C29" i="7"/>
  <c r="B29" i="7"/>
  <c r="H28" i="7"/>
  <c r="G28" i="7"/>
  <c r="F28" i="7"/>
  <c r="E28" i="7"/>
  <c r="D28" i="7"/>
  <c r="C28" i="7"/>
  <c r="B28" i="7"/>
  <c r="H27" i="7"/>
  <c r="G27" i="7"/>
  <c r="F27" i="7"/>
  <c r="E27" i="7"/>
  <c r="D27" i="7"/>
  <c r="C27" i="7"/>
  <c r="B27" i="7"/>
  <c r="H26" i="7"/>
  <c r="G26" i="7"/>
  <c r="F26" i="7"/>
  <c r="E26" i="7"/>
  <c r="C26" i="7"/>
  <c r="B26" i="7"/>
  <c r="A23" i="7"/>
  <c r="E6" i="5"/>
  <c r="G6" i="7"/>
  <c r="E9" i="5"/>
  <c r="G7" i="7"/>
  <c r="E12" i="5"/>
  <c r="G8" i="7"/>
  <c r="G9" i="7"/>
  <c r="D6" i="5"/>
  <c r="F6" i="7"/>
  <c r="D9" i="5"/>
  <c r="F7" i="7"/>
  <c r="D12" i="5"/>
  <c r="F8" i="7"/>
  <c r="F9" i="7"/>
  <c r="E6" i="7"/>
  <c r="E7" i="7"/>
  <c r="E8" i="7"/>
  <c r="E9" i="7"/>
  <c r="D6" i="7"/>
  <c r="D9" i="7"/>
  <c r="C12" i="7"/>
  <c r="C6" i="7"/>
  <c r="C10" i="7" s="1"/>
  <c r="B12" i="7"/>
  <c r="B4" i="7"/>
  <c r="B6" i="7"/>
  <c r="B10" i="7" s="1"/>
  <c r="A13" i="7"/>
  <c r="A12" i="7"/>
  <c r="C11" i="7"/>
  <c r="B11" i="7"/>
  <c r="H10" i="7"/>
  <c r="A10" i="7"/>
  <c r="C9" i="7"/>
  <c r="B9" i="7"/>
  <c r="C8" i="7"/>
  <c r="B8" i="7"/>
  <c r="C7" i="7"/>
  <c r="B7" i="7"/>
  <c r="A4" i="7"/>
  <c r="B3" i="7"/>
  <c r="H39" i="5"/>
  <c r="G39" i="5"/>
  <c r="F39" i="5"/>
  <c r="E39" i="5"/>
  <c r="D39" i="5"/>
  <c r="C39" i="5"/>
  <c r="A56" i="6"/>
  <c r="H41" i="5"/>
  <c r="G41" i="5"/>
  <c r="F41" i="5"/>
  <c r="E41" i="5"/>
  <c r="D41" i="5"/>
  <c r="C41" i="5"/>
  <c r="A54" i="6"/>
  <c r="H40" i="5"/>
  <c r="G40" i="5"/>
  <c r="F40" i="5"/>
  <c r="E40" i="5"/>
  <c r="D40" i="5"/>
  <c r="C40" i="5"/>
  <c r="A52" i="6"/>
  <c r="B29" i="6"/>
  <c r="C34" i="5"/>
  <c r="C35" i="5"/>
  <c r="C29" i="6" s="1"/>
  <c r="C39" i="6"/>
  <c r="D34" i="5"/>
  <c r="D35" i="5"/>
  <c r="D29" i="6" s="1"/>
  <c r="D39" i="6"/>
  <c r="E34" i="5"/>
  <c r="E35" i="5"/>
  <c r="E29" i="6" s="1"/>
  <c r="E39" i="6"/>
  <c r="F12" i="5"/>
  <c r="F9" i="5"/>
  <c r="F6" i="5"/>
  <c r="F28" i="5"/>
  <c r="F29" i="5"/>
  <c r="F30" i="5"/>
  <c r="F32" i="5"/>
  <c r="F33" i="5"/>
  <c r="F34" i="5"/>
  <c r="F35" i="5"/>
  <c r="F29" i="6" s="1"/>
  <c r="G29" i="6" s="1"/>
  <c r="H29" i="6" s="1"/>
  <c r="F36" i="5"/>
  <c r="F39" i="6"/>
  <c r="G34" i="5"/>
  <c r="G35" i="5"/>
  <c r="G39" i="6"/>
  <c r="H34" i="5"/>
  <c r="H35" i="5"/>
  <c r="H39" i="6"/>
  <c r="A53" i="4"/>
  <c r="A37" i="6" s="1"/>
  <c r="A51" i="4"/>
  <c r="A35" i="6" s="1"/>
  <c r="C8" i="6"/>
  <c r="D8" i="6" s="1"/>
  <c r="E8" i="6" s="1"/>
  <c r="F8" i="6" s="1"/>
  <c r="G8" i="6" s="1"/>
  <c r="H8" i="6" s="1"/>
  <c r="B41" i="5"/>
  <c r="B40" i="5"/>
  <c r="B39" i="5"/>
  <c r="H36" i="5"/>
  <c r="G36" i="5"/>
  <c r="B35" i="5"/>
  <c r="B34" i="5"/>
  <c r="H33" i="5"/>
  <c r="G33" i="5"/>
  <c r="H32" i="5"/>
  <c r="G32" i="5"/>
  <c r="H30" i="5"/>
  <c r="G30" i="5"/>
  <c r="H29" i="5"/>
  <c r="G29" i="5"/>
  <c r="H28" i="5"/>
  <c r="G28" i="5"/>
  <c r="A23" i="5"/>
  <c r="A21" i="5"/>
  <c r="H16" i="5"/>
  <c r="G16" i="5"/>
  <c r="H13" i="5"/>
  <c r="G13" i="5"/>
  <c r="H12" i="5"/>
  <c r="G12" i="5"/>
  <c r="H10" i="5"/>
  <c r="G10" i="5"/>
  <c r="H9" i="5"/>
  <c r="G9" i="5"/>
  <c r="H6" i="5"/>
  <c r="G6" i="5"/>
  <c r="C4" i="5"/>
  <c r="D4" i="5" s="1"/>
  <c r="E4" i="5" s="1"/>
  <c r="F4" i="5" s="1"/>
  <c r="G4" i="5" s="1"/>
  <c r="H4" i="5" s="1"/>
  <c r="B40" i="2"/>
  <c r="G17" i="2" s="1"/>
  <c r="B37" i="2"/>
  <c r="E48" i="2"/>
  <c r="E47" i="2"/>
  <c r="E46" i="2"/>
  <c r="A24" i="2"/>
  <c r="A23" i="2"/>
  <c r="A22" i="2"/>
  <c r="C46" i="8" l="1"/>
  <c r="E22" i="6"/>
  <c r="F26" i="6"/>
  <c r="G26" i="6" s="1"/>
  <c r="H26" i="6" s="1"/>
  <c r="D44" i="8"/>
  <c r="D46" i="8" s="1"/>
  <c r="D9" i="11"/>
  <c r="D26" i="6"/>
  <c r="F39" i="7" s="1"/>
  <c r="E26" i="6"/>
  <c r="G39" i="7" s="1"/>
  <c r="D10" i="11"/>
  <c r="G44" i="8"/>
  <c r="D11" i="11"/>
  <c r="D4" i="12"/>
  <c r="C36" i="2"/>
  <c r="G16" i="2"/>
  <c r="G18" i="2" s="1"/>
  <c r="B24" i="4"/>
  <c r="C24" i="6" s="1"/>
  <c r="E37" i="7" s="1"/>
  <c r="B24" i="15"/>
  <c r="F24" i="6" s="1"/>
  <c r="B24" i="14"/>
  <c r="D24" i="6" s="1"/>
  <c r="F37" i="7" s="1"/>
  <c r="B23" i="4"/>
  <c r="B23" i="6" s="1"/>
  <c r="B36" i="7" s="1"/>
  <c r="B23" i="14"/>
  <c r="E23" i="6" s="1"/>
  <c r="B23" i="15"/>
  <c r="F23" i="6" s="1"/>
  <c r="B22" i="4"/>
  <c r="B22" i="14"/>
  <c r="D22" i="6" s="1"/>
  <c r="B22" i="15"/>
  <c r="F22" i="6" s="1"/>
  <c r="G22" i="6" s="1"/>
  <c r="B53" i="4"/>
  <c r="B36" i="4" s="1"/>
  <c r="F54" i="6" s="1"/>
  <c r="B53" i="15"/>
  <c r="B36" i="15" s="1"/>
  <c r="B53" i="14"/>
  <c r="B36" i="14" s="1"/>
  <c r="B17" i="14"/>
  <c r="B17" i="15"/>
  <c r="B16" i="4"/>
  <c r="C16" i="6" s="1"/>
  <c r="E11" i="7" s="1"/>
  <c r="B16" i="15"/>
  <c r="B16" i="14"/>
  <c r="B18" i="14" s="1"/>
  <c r="J5" i="12"/>
  <c r="C37" i="2"/>
  <c r="B22" i="8"/>
  <c r="D22" i="8"/>
  <c r="D31" i="8" s="1"/>
  <c r="B44" i="8"/>
  <c r="B46" i="8" s="1"/>
  <c r="B120" i="2"/>
  <c r="J3" i="12"/>
  <c r="E44" i="8"/>
  <c r="L3" i="12"/>
  <c r="D70" i="2"/>
  <c r="H47" i="7"/>
  <c r="E45" i="7"/>
  <c r="C45" i="7"/>
  <c r="C47" i="7" s="1"/>
  <c r="D27" i="3"/>
  <c r="E8" i="2"/>
  <c r="E7" i="2"/>
  <c r="E6" i="2"/>
  <c r="G46" i="8"/>
  <c r="E39" i="7"/>
  <c r="C12" i="8"/>
  <c r="J4" i="12"/>
  <c r="D82" i="2"/>
  <c r="C35" i="2"/>
  <c r="F22" i="8"/>
  <c r="F31" i="8" s="1"/>
  <c r="E46" i="8"/>
  <c r="F46" i="8"/>
  <c r="H19" i="11"/>
  <c r="D23" i="7"/>
  <c r="D32" i="7" s="1"/>
  <c r="H31" i="8"/>
  <c r="D71" i="2"/>
  <c r="B17" i="4"/>
  <c r="B17" i="6" s="1"/>
  <c r="D80" i="2"/>
  <c r="B13" i="7"/>
  <c r="E10" i="7"/>
  <c r="F10" i="7"/>
  <c r="C13" i="7"/>
  <c r="G23" i="7"/>
  <c r="G32" i="7" s="1"/>
  <c r="C23" i="7"/>
  <c r="C32" i="7" s="1"/>
  <c r="H23" i="7"/>
  <c r="H32" i="7" s="1"/>
  <c r="G10" i="7"/>
  <c r="E23" i="7"/>
  <c r="E32" i="7" s="1"/>
  <c r="F45" i="7"/>
  <c r="G45" i="7"/>
  <c r="D26" i="3"/>
  <c r="D16" i="3"/>
  <c r="D25" i="3"/>
  <c r="B9" i="3"/>
  <c r="D28" i="3"/>
  <c r="B8" i="3"/>
  <c r="D67" i="2"/>
  <c r="D55" i="2"/>
  <c r="B21" i="2"/>
  <c r="B29" i="2" s="1"/>
  <c r="B41" i="2"/>
  <c r="B117" i="2" s="1"/>
  <c r="C40" i="2"/>
  <c r="C38" i="2"/>
  <c r="C39" i="2"/>
  <c r="F23" i="7"/>
  <c r="F32" i="7" s="1"/>
  <c r="D45" i="7"/>
  <c r="D47" i="7" s="1"/>
  <c r="G22" i="8"/>
  <c r="G31" i="8" s="1"/>
  <c r="H46" i="8"/>
  <c r="D4" i="9"/>
  <c r="D10" i="10" s="1"/>
  <c r="D9" i="10"/>
  <c r="I17" i="11"/>
  <c r="H17" i="11"/>
  <c r="D58" i="2"/>
  <c r="B31" i="8"/>
  <c r="E22" i="8"/>
  <c r="E31" i="8" s="1"/>
  <c r="B45" i="7"/>
  <c r="B12" i="8"/>
  <c r="C22" i="8"/>
  <c r="C31" i="8" s="1"/>
  <c r="F5" i="12"/>
  <c r="F4" i="12"/>
  <c r="F3" i="12"/>
  <c r="B23" i="7"/>
  <c r="B32" i="7" s="1"/>
  <c r="D18" i="3"/>
  <c r="B24" i="6" l="1"/>
  <c r="B37" i="7" s="1"/>
  <c r="D23" i="6"/>
  <c r="F36" i="7" s="1"/>
  <c r="C23" i="6"/>
  <c r="E36" i="7" s="1"/>
  <c r="E24" i="6"/>
  <c r="G37" i="7" s="1"/>
  <c r="F35" i="7"/>
  <c r="G24" i="6"/>
  <c r="H24" i="6" s="1"/>
  <c r="G23" i="6"/>
  <c r="H23" i="6" s="1"/>
  <c r="C22" i="6"/>
  <c r="E35" i="7" s="1"/>
  <c r="G35" i="7"/>
  <c r="B22" i="6"/>
  <c r="B35" i="7" s="1"/>
  <c r="G36" i="7"/>
  <c r="F27" i="6"/>
  <c r="B54" i="4"/>
  <c r="B38" i="6" s="1"/>
  <c r="B54" i="15"/>
  <c r="B37" i="15" s="1"/>
  <c r="B54" i="14"/>
  <c r="B37" i="14" s="1"/>
  <c r="B37" i="6"/>
  <c r="D17" i="6"/>
  <c r="B18" i="15"/>
  <c r="D16" i="6"/>
  <c r="F11" i="7" s="1"/>
  <c r="B16" i="6"/>
  <c r="D11" i="7" s="1"/>
  <c r="E16" i="6"/>
  <c r="G11" i="7" s="1"/>
  <c r="F16" i="6"/>
  <c r="G16" i="6" s="1"/>
  <c r="H16" i="6" s="1"/>
  <c r="B13" i="14"/>
  <c r="B13" i="15"/>
  <c r="B11" i="15"/>
  <c r="B11" i="14"/>
  <c r="H54" i="6"/>
  <c r="B13" i="4"/>
  <c r="E13" i="6" s="1"/>
  <c r="E17" i="6"/>
  <c r="E18" i="6" s="1"/>
  <c r="G11" i="8" s="1"/>
  <c r="G12" i="8" s="1"/>
  <c r="B18" i="4"/>
  <c r="G54" i="6"/>
  <c r="C17" i="6"/>
  <c r="C18" i="6" s="1"/>
  <c r="E12" i="7" s="1"/>
  <c r="E13" i="7" s="1"/>
  <c r="F17" i="6"/>
  <c r="G17" i="6" s="1"/>
  <c r="H17" i="6" s="1"/>
  <c r="C54" i="6"/>
  <c r="D54" i="6"/>
  <c r="E54" i="6"/>
  <c r="D17" i="3"/>
  <c r="B11" i="4"/>
  <c r="F11" i="6" s="1"/>
  <c r="G11" i="6" s="1"/>
  <c r="H11" i="6" s="1"/>
  <c r="D23" i="3"/>
  <c r="B10" i="3"/>
  <c r="B32" i="2"/>
  <c r="C6" i="2"/>
  <c r="D6" i="2" s="1"/>
  <c r="H22" i="6"/>
  <c r="D27" i="6" l="1"/>
  <c r="F40" i="7" s="1"/>
  <c r="E27" i="6"/>
  <c r="G40" i="7" s="1"/>
  <c r="B25" i="4"/>
  <c r="B30" i="4" s="1"/>
  <c r="B25" i="14"/>
  <c r="B30" i="14" s="1"/>
  <c r="B28" i="14"/>
  <c r="B28" i="15"/>
  <c r="F28" i="6" s="1"/>
  <c r="G28" i="6" s="1"/>
  <c r="H28" i="6" s="1"/>
  <c r="B25" i="15"/>
  <c r="B37" i="4"/>
  <c r="G55" i="6" s="1"/>
  <c r="B51" i="4"/>
  <c r="B55" i="4" s="1"/>
  <c r="B56" i="4" s="1"/>
  <c r="B51" i="15"/>
  <c r="B55" i="15" s="1"/>
  <c r="B56" i="15" s="1"/>
  <c r="B51" i="14"/>
  <c r="D18" i="6"/>
  <c r="F12" i="7" s="1"/>
  <c r="F13" i="7" s="1"/>
  <c r="E11" i="8"/>
  <c r="E12" i="8" s="1"/>
  <c r="G12" i="7"/>
  <c r="G13" i="7" s="1"/>
  <c r="B18" i="6"/>
  <c r="B12" i="4"/>
  <c r="H12" i="6" s="1"/>
  <c r="B12" i="15"/>
  <c r="B12" i="14"/>
  <c r="B14" i="6"/>
  <c r="D8" i="7" s="1"/>
  <c r="F13" i="6"/>
  <c r="G13" i="6" s="1"/>
  <c r="H13" i="6" s="1"/>
  <c r="C13" i="6"/>
  <c r="B13" i="6"/>
  <c r="D7" i="7" s="1"/>
  <c r="D13" i="6"/>
  <c r="H18" i="6"/>
  <c r="F18" i="6"/>
  <c r="G18" i="6"/>
  <c r="C29" i="2"/>
  <c r="B28" i="4"/>
  <c r="E11" i="6"/>
  <c r="B27" i="6"/>
  <c r="B40" i="7" s="1"/>
  <c r="C27" i="6"/>
  <c r="E40" i="7" s="1"/>
  <c r="B11" i="6"/>
  <c r="G27" i="6"/>
  <c r="H27" i="6" s="1"/>
  <c r="C8" i="3"/>
  <c r="C9" i="3"/>
  <c r="D11" i="6"/>
  <c r="C11" i="6"/>
  <c r="C27" i="2"/>
  <c r="C31" i="2"/>
  <c r="C26" i="2"/>
  <c r="C23" i="2"/>
  <c r="C21" i="2"/>
  <c r="C17" i="2"/>
  <c r="C20" i="2"/>
  <c r="C30" i="2"/>
  <c r="C25" i="2"/>
  <c r="C32" i="2"/>
  <c r="C28" i="2"/>
  <c r="C18" i="2"/>
  <c r="C16" i="2"/>
  <c r="C24" i="2"/>
  <c r="C15" i="2"/>
  <c r="C19" i="2"/>
  <c r="C22" i="2"/>
  <c r="B30" i="15" l="1"/>
  <c r="F30" i="6" s="1"/>
  <c r="G30" i="6" s="1"/>
  <c r="H30" i="6" s="1"/>
  <c r="F25" i="6"/>
  <c r="G25" i="6" s="1"/>
  <c r="H25" i="6" s="1"/>
  <c r="D30" i="6"/>
  <c r="E30" i="6"/>
  <c r="E25" i="6"/>
  <c r="D25" i="6"/>
  <c r="D28" i="6"/>
  <c r="E28" i="6"/>
  <c r="F55" i="6"/>
  <c r="B34" i="4"/>
  <c r="B38" i="4" s="1"/>
  <c r="B35" i="6"/>
  <c r="B57" i="4"/>
  <c r="C51" i="15"/>
  <c r="C55" i="15"/>
  <c r="C54" i="15"/>
  <c r="C53" i="15"/>
  <c r="E55" i="6"/>
  <c r="D55" i="6"/>
  <c r="G12" i="6"/>
  <c r="H55" i="6"/>
  <c r="C55" i="6"/>
  <c r="E12" i="6"/>
  <c r="F11" i="8"/>
  <c r="F12" i="8" s="1"/>
  <c r="B55" i="14"/>
  <c r="B56" i="14" s="1"/>
  <c r="B34" i="14"/>
  <c r="B38" i="14" s="1"/>
  <c r="C12" i="6"/>
  <c r="B34" i="15"/>
  <c r="B38" i="15" s="1"/>
  <c r="B57" i="15"/>
  <c r="D11" i="8"/>
  <c r="D12" i="8" s="1"/>
  <c r="D12" i="7"/>
  <c r="F12" i="6"/>
  <c r="B12" i="6"/>
  <c r="B15" i="6" s="1"/>
  <c r="B19" i="6" s="1"/>
  <c r="D12" i="6"/>
  <c r="D10" i="7"/>
  <c r="C25" i="6"/>
  <c r="C51" i="4"/>
  <c r="C55" i="4"/>
  <c r="C53" i="4"/>
  <c r="C54" i="4"/>
  <c r="B25" i="6"/>
  <c r="B28" i="6"/>
  <c r="C28" i="6"/>
  <c r="D13" i="7" l="1"/>
  <c r="D26" i="7"/>
  <c r="B39" i="6"/>
  <c r="E52" i="6"/>
  <c r="E56" i="6" s="1"/>
  <c r="H52" i="6"/>
  <c r="H56" i="6" s="1"/>
  <c r="C52" i="6"/>
  <c r="C56" i="6" s="1"/>
  <c r="G52" i="6"/>
  <c r="G56" i="6" s="1"/>
  <c r="D52" i="6"/>
  <c r="D56" i="6" s="1"/>
  <c r="F52" i="6"/>
  <c r="F56" i="6" s="1"/>
  <c r="C51" i="14"/>
  <c r="C55" i="14"/>
  <c r="C53" i="14"/>
  <c r="C54" i="14"/>
  <c r="B57" i="14"/>
  <c r="B38" i="7"/>
  <c r="F38" i="7"/>
  <c r="E38" i="7"/>
  <c r="C30" i="6"/>
  <c r="E41" i="7" s="1"/>
  <c r="G41" i="7"/>
  <c r="B30" i="6"/>
  <c r="B41" i="7" s="1"/>
  <c r="F41" i="7"/>
  <c r="G38" i="7"/>
  <c r="G42" i="7" l="1"/>
  <c r="G47" i="7" s="1"/>
  <c r="E42" i="7"/>
  <c r="E47" i="7" s="1"/>
  <c r="B32" i="6"/>
  <c r="B42" i="6" s="1"/>
  <c r="B46" i="6" s="1"/>
  <c r="B42" i="7"/>
  <c r="B47" i="7" s="1"/>
  <c r="F42" i="7"/>
  <c r="F47" i="7" s="1"/>
  <c r="B31" i="14" l="1"/>
  <c r="B32" i="14" s="1"/>
  <c r="B31" i="15"/>
  <c r="C31" i="6"/>
  <c r="C32" i="6" s="1"/>
  <c r="B10" i="2"/>
  <c r="B31" i="4"/>
  <c r="B32" i="4" s="1"/>
  <c r="D31" i="6" l="1"/>
  <c r="E31" i="6" s="1"/>
  <c r="F31" i="6" s="1"/>
  <c r="B39" i="4"/>
  <c r="C31" i="4" s="1"/>
  <c r="B32" i="15"/>
  <c r="B39" i="14"/>
  <c r="D32" i="6" l="1"/>
  <c r="E32" i="6"/>
  <c r="C32" i="4"/>
  <c r="F32" i="6"/>
  <c r="G31" i="6"/>
  <c r="C23" i="4"/>
  <c r="C27" i="4"/>
  <c r="C26" i="4"/>
  <c r="C28" i="4"/>
  <c r="C24" i="4"/>
  <c r="C38" i="4"/>
  <c r="C25" i="4"/>
  <c r="C29" i="4"/>
  <c r="C30" i="4"/>
  <c r="C22" i="4"/>
  <c r="C34" i="4"/>
  <c r="C39" i="4"/>
  <c r="C22" i="14"/>
  <c r="C25" i="14"/>
  <c r="C30" i="14"/>
  <c r="C28" i="14"/>
  <c r="C27" i="14"/>
  <c r="C38" i="14"/>
  <c r="C31" i="14"/>
  <c r="C23" i="14"/>
  <c r="C26" i="14"/>
  <c r="C34" i="14"/>
  <c r="C29" i="14"/>
  <c r="C39" i="14"/>
  <c r="C24" i="14"/>
  <c r="C32" i="14"/>
  <c r="B39" i="15"/>
  <c r="C29" i="15" l="1"/>
  <c r="C23" i="15"/>
  <c r="C34" i="15"/>
  <c r="C39" i="15"/>
  <c r="C30" i="15"/>
  <c r="C22" i="15"/>
  <c r="C27" i="15"/>
  <c r="C28" i="15"/>
  <c r="C26" i="15"/>
  <c r="C24" i="15"/>
  <c r="C38" i="15"/>
  <c r="C25" i="15"/>
  <c r="C31" i="15"/>
  <c r="C32" i="15"/>
  <c r="H31" i="6"/>
  <c r="H32" i="6" s="1"/>
  <c r="G32" i="6"/>
  <c r="E66" i="2"/>
  <c r="D66" i="2" s="1"/>
  <c r="D19" i="3" l="1"/>
  <c r="B14" i="4" s="1"/>
  <c r="D14" i="3" l="1"/>
  <c r="B14" i="15"/>
  <c r="B15" i="15" s="1"/>
  <c r="B41" i="15" s="1"/>
  <c r="B14" i="14"/>
  <c r="B15" i="14" s="1"/>
  <c r="F14" i="6"/>
  <c r="D14" i="6"/>
  <c r="D15" i="6" s="1"/>
  <c r="D19" i="6" s="1"/>
  <c r="D42" i="6" s="1"/>
  <c r="E14" i="6"/>
  <c r="E15" i="6" s="1"/>
  <c r="E19" i="6" s="1"/>
  <c r="E42" i="6" s="1"/>
  <c r="B15" i="4"/>
  <c r="C14" i="6"/>
  <c r="C15" i="6" s="1"/>
  <c r="C19" i="6" s="1"/>
  <c r="C42" i="6" s="1"/>
  <c r="B19" i="15" l="1"/>
  <c r="C15" i="15" s="1"/>
  <c r="B41" i="14"/>
  <c r="B19" i="14"/>
  <c r="B41" i="4"/>
  <c r="B19" i="4"/>
  <c r="G14" i="6"/>
  <c r="F15" i="6"/>
  <c r="F19" i="6" s="1"/>
  <c r="F42" i="6" s="1"/>
  <c r="B45" i="15"/>
  <c r="B42" i="15"/>
  <c r="C17" i="15" l="1"/>
  <c r="C12" i="15"/>
  <c r="B43" i="15"/>
  <c r="B46" i="15" s="1"/>
  <c r="F43" i="6"/>
  <c r="G43" i="6" s="1"/>
  <c r="H43" i="6" s="1"/>
  <c r="C14" i="15"/>
  <c r="C13" i="15"/>
  <c r="C19" i="15"/>
  <c r="C11" i="15"/>
  <c r="C16" i="15"/>
  <c r="C18" i="15"/>
  <c r="C18" i="14"/>
  <c r="C19" i="14"/>
  <c r="C17" i="14"/>
  <c r="C16" i="14"/>
  <c r="C13" i="14"/>
  <c r="C14" i="14"/>
  <c r="C12" i="14"/>
  <c r="C11" i="14"/>
  <c r="B45" i="14"/>
  <c r="B42" i="14"/>
  <c r="C15" i="14"/>
  <c r="C11" i="4"/>
  <c r="C12" i="4"/>
  <c r="C13" i="4"/>
  <c r="C19" i="4"/>
  <c r="C18" i="4"/>
  <c r="C17" i="4"/>
  <c r="C16" i="4"/>
  <c r="C14" i="4"/>
  <c r="B42" i="4"/>
  <c r="C43" i="6" s="1"/>
  <c r="B45" i="4"/>
  <c r="G15" i="6"/>
  <c r="G19" i="6" s="1"/>
  <c r="G42" i="6" s="1"/>
  <c r="H14" i="6"/>
  <c r="H15" i="6" s="1"/>
  <c r="H19" i="6" s="1"/>
  <c r="H42" i="6" s="1"/>
  <c r="C15" i="4"/>
  <c r="B43" i="14" l="1"/>
  <c r="B46" i="14" s="1"/>
  <c r="D43" i="6"/>
  <c r="E43" i="6" s="1"/>
  <c r="B43" i="4"/>
  <c r="B46" i="4" s="1"/>
  <c r="C46" i="6"/>
  <c r="D46" i="6" l="1"/>
  <c r="E46" i="6" l="1"/>
  <c r="F46" i="6" l="1"/>
  <c r="H46" i="6" l="1"/>
  <c r="G46" i="6"/>
  <c r="B48" i="6" l="1"/>
</calcChain>
</file>

<file path=xl/sharedStrings.xml><?xml version="1.0" encoding="utf-8"?>
<sst xmlns="http://schemas.openxmlformats.org/spreadsheetml/2006/main" count="598" uniqueCount="268">
  <si>
    <t>SAN GIOBBE</t>
  </si>
  <si>
    <t>%</t>
  </si>
  <si>
    <t>HP 1</t>
  </si>
  <si>
    <t>€</t>
  </si>
  <si>
    <t>mq</t>
  </si>
  <si>
    <t>€/mq</t>
  </si>
  <si>
    <t>Posti letto in singola</t>
  </si>
  <si>
    <t>Costo opera per l'Ateneo</t>
  </si>
  <si>
    <t>Posti letto in doppia</t>
  </si>
  <si>
    <t>Totale posti letto</t>
  </si>
  <si>
    <t xml:space="preserve"> </t>
  </si>
  <si>
    <t>Totale</t>
  </si>
  <si>
    <t>RICAVI</t>
  </si>
  <si>
    <t>Stanze singole</t>
  </si>
  <si>
    <t>TOTALE POSTI LETTO:</t>
  </si>
  <si>
    <t>Lunga permanenza</t>
  </si>
  <si>
    <t>Foresteria permanente</t>
  </si>
  <si>
    <t>VARIABILI DI COSTRUZIONE (DESTINAZIONE DEGLI SPAZI)</t>
  </si>
  <si>
    <t>Mq funzionali residenziali</t>
  </si>
  <si>
    <t>Foresteria estiva</t>
  </si>
  <si>
    <t>di cui mq stanze singole</t>
  </si>
  <si>
    <t>di cui mq stanze doppie</t>
  </si>
  <si>
    <t>Mq distributivo</t>
  </si>
  <si>
    <t>Stanze doppie</t>
  </si>
  <si>
    <t>di cui mq distributivo pubblico</t>
  </si>
  <si>
    <t>di cui mq distributivo privato</t>
  </si>
  <si>
    <t>Mq residenziali di proprietà</t>
  </si>
  <si>
    <t>Mq servizi di supporto/ricreativi</t>
  </si>
  <si>
    <t>altri spazi (aggiunto)</t>
  </si>
  <si>
    <t>Totale mq. San Giobbe</t>
  </si>
  <si>
    <t>mq aree verdi</t>
  </si>
  <si>
    <t>Singole Ca' Foscari</t>
  </si>
  <si>
    <t>Totale singole</t>
  </si>
  <si>
    <t>Doppie Ca' Foscari</t>
  </si>
  <si>
    <t>Totale doppie</t>
  </si>
  <si>
    <t>HP 2</t>
  </si>
  <si>
    <t>Oneri di sicurezza</t>
  </si>
  <si>
    <t>Occupazione (%)</t>
  </si>
  <si>
    <t>Tipologia appartamenti in mq</t>
  </si>
  <si>
    <t>Numero</t>
  </si>
  <si>
    <t>Giorni totali disponibili</t>
  </si>
  <si>
    <t>Totale mq</t>
  </si>
  <si>
    <t>Mesi totali disponibili</t>
  </si>
  <si>
    <t>Imprevisti</t>
  </si>
  <si>
    <t>Spazi commerciali</t>
  </si>
  <si>
    <t>Spese tecniche</t>
  </si>
  <si>
    <t>Cambio biancheria (€/gg)</t>
  </si>
  <si>
    <t>RICAVI UNITARI PER TIPOLOGIA</t>
  </si>
  <si>
    <t>Occupazione foresteria permanente (gg)</t>
  </si>
  <si>
    <t>IVA</t>
  </si>
  <si>
    <t>Doppia</t>
  </si>
  <si>
    <t>Occupazione foresteria estiva (gg)</t>
  </si>
  <si>
    <t>Prezzo al pubblico €/gg</t>
  </si>
  <si>
    <t>% IVA</t>
  </si>
  <si>
    <t>Importo IVA</t>
  </si>
  <si>
    <t>Netto IVA</t>
  </si>
  <si>
    <t>Singola</t>
  </si>
  <si>
    <t>Coordinamento</t>
  </si>
  <si>
    <t>Portineria</t>
  </si>
  <si>
    <t>Cambio biancheria</t>
  </si>
  <si>
    <t>Accantonamenti</t>
  </si>
  <si>
    <t>COSTI DI INVESTIMENTO (CAPEX)</t>
  </si>
  <si>
    <t>COSTI DI GESTIONE</t>
  </si>
  <si>
    <t>Direzione</t>
  </si>
  <si>
    <t>quantità</t>
  </si>
  <si>
    <t>costo</t>
  </si>
  <si>
    <t>Costo direttore di residenza</t>
  </si>
  <si>
    <t>costo per persona</t>
  </si>
  <si>
    <t>Costo portineria</t>
  </si>
  <si>
    <t>Manutentore</t>
  </si>
  <si>
    <t>SONO STATI PRESI IN CONSIDERAZIONE SOLO VALORI AL NETTO DI IVA</t>
  </si>
  <si>
    <t>Spese varie (sul totale costi: manutenzione+pulizia+cambio biancheria)</t>
  </si>
  <si>
    <t>Acc. ammortamento camere</t>
  </si>
  <si>
    <t>Lunga perm. Ca' Foscari</t>
  </si>
  <si>
    <t>6 anni</t>
  </si>
  <si>
    <t>Acc. ammortamento spazi comuni</t>
  </si>
  <si>
    <t>Acc. ammortamento bar</t>
  </si>
  <si>
    <t>For. Perman. Ca' Foscari</t>
  </si>
  <si>
    <t>For. Estiva Ca' Foscari</t>
  </si>
  <si>
    <t>Totale ricavi da residenza student.</t>
  </si>
  <si>
    <t>Affitto locali commerciali</t>
  </si>
  <si>
    <t>Totale ricavi da affitti commerciali</t>
  </si>
  <si>
    <t>TOTALE RICAVI</t>
  </si>
  <si>
    <t>Costo manutentore</t>
  </si>
  <si>
    <t>Manutenzione ordinaria</t>
  </si>
  <si>
    <t>Pulizia spazi comuni</t>
  </si>
  <si>
    <t>Spese varie</t>
  </si>
  <si>
    <t>Manutenzione spazi verdi</t>
  </si>
  <si>
    <t>Canone Locazione annuo</t>
  </si>
  <si>
    <t>CANONE DI LOCAZIONE</t>
  </si>
  <si>
    <t>Totale accantonamenti ammortamenti</t>
  </si>
  <si>
    <t>TOTALE COSTI OPERATIVI</t>
  </si>
  <si>
    <t>RO ante imposte</t>
  </si>
  <si>
    <t>RO netto imposte</t>
  </si>
  <si>
    <t>RO lordo/INVESTIMENTO</t>
  </si>
  <si>
    <t>RO netto/INVESTIMENTO</t>
  </si>
  <si>
    <t>CAPEX</t>
  </si>
  <si>
    <t>Totale capex netto IVA</t>
  </si>
  <si>
    <t>Totale capex lordo IVA</t>
  </si>
  <si>
    <t>Entrate da residenza stud</t>
  </si>
  <si>
    <t>Totale entrate da affitti commerciali</t>
  </si>
  <si>
    <t>Totale costi di struttura</t>
  </si>
  <si>
    <t>IPOTESI IRR GESTORE</t>
  </si>
  <si>
    <t>ENTRATE DI CASSA</t>
  </si>
  <si>
    <t>6-30</t>
  </si>
  <si>
    <t>Entrate da vendita complesso immobiliare</t>
  </si>
  <si>
    <t>Entrate da residenza studentesca</t>
  </si>
  <si>
    <t>Minialloggio IUAV</t>
  </si>
  <si>
    <t xml:space="preserve">TOTALE ENTRATE DI CASSA </t>
  </si>
  <si>
    <t>USCITE DI CASSA per spese di gestione</t>
  </si>
  <si>
    <t>COSTI DELL'INVESTIMENTO</t>
  </si>
  <si>
    <t>Costo acquisto dell'area</t>
  </si>
  <si>
    <t>Imposta di registro 2%</t>
  </si>
  <si>
    <t>Costo residenza studenti</t>
  </si>
  <si>
    <t>Costo distributivo</t>
  </si>
  <si>
    <t>Costo residenziale privato</t>
  </si>
  <si>
    <t>Costo servizi di supporto/ricreativi</t>
  </si>
  <si>
    <t>Costi IUAV</t>
  </si>
  <si>
    <t>Arredi Ca' Foscari</t>
  </si>
  <si>
    <t>Arredi IUAV</t>
  </si>
  <si>
    <t>Totale investimento</t>
  </si>
  <si>
    <t>USCITE DI CASSA per Capex netto IVA</t>
  </si>
  <si>
    <t>FCFO lordo</t>
  </si>
  <si>
    <t>Imposte su Reddito Operativo</t>
  </si>
  <si>
    <t>FCFO netto per il gestore</t>
  </si>
  <si>
    <t>IRR per il gestore</t>
  </si>
  <si>
    <t>Margine operativo riconosciuto al gestore</t>
  </si>
  <si>
    <t>Flussi di cassa</t>
  </si>
  <si>
    <t>IRR_HP1</t>
  </si>
  <si>
    <t>Inflazione media attesa*</t>
  </si>
  <si>
    <t>*Utilizzata solo per calcolare l'incremento del valore dell'immobile a scadenza</t>
  </si>
  <si>
    <t>N° anni</t>
  </si>
  <si>
    <t>Val IFI*</t>
  </si>
  <si>
    <t>Senza
rivalutazione</t>
  </si>
  <si>
    <t>Iscritti ai diversi istituti universitari veneziani</t>
  </si>
  <si>
    <t>Con
rivalutazione</t>
  </si>
  <si>
    <t>Ca' Foscari</t>
  </si>
  <si>
    <t>Rendimento medio annuo fondi immobialiari
(01/01/2002 - 15/06/2010)</t>
  </si>
  <si>
    <t>Valore indice al
01/01/2002</t>
  </si>
  <si>
    <t>Valore indice al
15/06/2010</t>
  </si>
  <si>
    <t>IUAV</t>
  </si>
  <si>
    <t>Accademia delle belle arti</t>
  </si>
  <si>
    <t>Conservatorio Benedetto Marcello</t>
  </si>
  <si>
    <t>Totale studenti Ist. Universitari veneziani</t>
  </si>
  <si>
    <t>*Base dati indice IFI di Trading System</t>
  </si>
  <si>
    <t>di cui domiciliati a Venezia</t>
  </si>
  <si>
    <t>Rf (10 anni italiano)</t>
  </si>
  <si>
    <t>ERP</t>
  </si>
  <si>
    <t>presso sedi ESU</t>
  </si>
  <si>
    <t>βu</t>
  </si>
  <si>
    <t>Costo capitale unlevered*</t>
  </si>
  <si>
    <t>presso appartamenti privati</t>
  </si>
  <si>
    <t>*Calcolo su base CAPM con Rf decennale italiano a 2,9857%, un ERP 5% e un βu pari a 0,25 (fonte Damodaran - Europe - Real Estate)</t>
  </si>
  <si>
    <t>di cui studenti pendolari</t>
  </si>
  <si>
    <t>Tasso di inflazione medio atteso</t>
  </si>
  <si>
    <t>Costo capitale unlevered reale**</t>
  </si>
  <si>
    <t>Alcune evidenze per Ca' Foscari</t>
  </si>
  <si>
    <t>Iscritti
2007/2008</t>
  </si>
  <si>
    <t>**Calcolato a partire dal costo del capitale unlevered e da un tasso di inflazione atteso pari al 2% medio annuo</t>
  </si>
  <si>
    <t>Iscritti
2008/2009</t>
  </si>
  <si>
    <t>Iscritti
2009/2010</t>
  </si>
  <si>
    <t>CAGR</t>
  </si>
  <si>
    <t>Totale generale</t>
  </si>
  <si>
    <t>di cui studenti NON Veneti</t>
  </si>
  <si>
    <t>di cui studenti Veneti</t>
  </si>
  <si>
    <t>di cui da altre province della regione</t>
  </si>
  <si>
    <t>di cui provincia di VE</t>
  </si>
  <si>
    <t>di cui provincia di TV</t>
  </si>
  <si>
    <t>Nominale</t>
  </si>
  <si>
    <t>Valore del fondo (conferimenti+costruzione)</t>
  </si>
  <si>
    <t>Conferimento Ca' Foscari</t>
  </si>
  <si>
    <t>- di cui:  cash</t>
  </si>
  <si>
    <t>- di cui in quote</t>
  </si>
  <si>
    <t>Valore di mercato del fondo</t>
  </si>
  <si>
    <t>VAN investimento del fondo</t>
  </si>
  <si>
    <t>VAN investimento quote di Ca' Foscari</t>
  </si>
  <si>
    <t>Var. risp a prezzo asta</t>
  </si>
  <si>
    <t>Stima valore di disinvestimento immediatamente monetizzabile per Ca' Foscari</t>
  </si>
  <si>
    <t>N.B.: con tasso di inflazione pari al 2% medio annuo e Costo del capitale unlevered pari al 4,2357%</t>
  </si>
  <si>
    <t>Reale</t>
  </si>
  <si>
    <t>N.B.: con Costo del capitale unlevered reale pari al 2,1919%</t>
  </si>
  <si>
    <t>NOMINALE</t>
  </si>
  <si>
    <t>REALE</t>
  </si>
  <si>
    <r>
      <rPr>
        <sz val="10"/>
        <color rgb="FFFFFFFF"/>
        <rFont val="Goudy Old Style"/>
      </rPr>
      <t>∆</t>
    </r>
    <r>
      <rPr>
        <i/>
        <sz val="10"/>
        <color rgb="FFFFFFFF"/>
        <rFont val="Arial"/>
      </rPr>
      <t xml:space="preserve"> % prezzo d'asta</t>
    </r>
  </si>
  <si>
    <r>
      <rPr>
        <sz val="10"/>
        <color rgb="FFFFFFFF"/>
        <rFont val="Goudy Old Style"/>
      </rPr>
      <t>∆</t>
    </r>
    <r>
      <rPr>
        <i/>
        <sz val="10"/>
        <color rgb="FFFFFFFF"/>
        <rFont val="Arial"/>
      </rPr>
      <t xml:space="preserve"> % prezzo d'asta</t>
    </r>
  </si>
  <si>
    <r>
      <rPr>
        <sz val="10"/>
        <color rgb="FFFFFFFF"/>
        <rFont val="Goudy Old Style"/>
      </rPr>
      <t>∆</t>
    </r>
    <r>
      <rPr>
        <i/>
        <sz val="10"/>
        <color rgb="FFFFFFFF"/>
        <rFont val="Arial"/>
      </rPr>
      <t xml:space="preserve"> % prezzo d'asta</t>
    </r>
  </si>
  <si>
    <r>
      <rPr>
        <sz val="10"/>
        <color rgb="FFFFFFFF"/>
        <rFont val="Goudy Old Style"/>
      </rPr>
      <t>∆</t>
    </r>
    <r>
      <rPr>
        <i/>
        <sz val="10"/>
        <color rgb="FFFFFFFF"/>
        <rFont val="Arial"/>
      </rPr>
      <t xml:space="preserve"> % prezzo d'asta</t>
    </r>
  </si>
  <si>
    <t>7 mln cash</t>
  </si>
  <si>
    <t>7+9 mln cash</t>
  </si>
  <si>
    <t>50% - 50%</t>
  </si>
  <si>
    <t>Prezzo base d'asta lotto A</t>
  </si>
  <si>
    <t>Costo tot</t>
  </si>
  <si>
    <t>IVA%</t>
  </si>
  <si>
    <t>Netto Iva</t>
  </si>
  <si>
    <t>- di cui DSU</t>
  </si>
  <si>
    <t>- di cui Libero Mercato</t>
  </si>
  <si>
    <t>Lunga permanenza:</t>
  </si>
  <si>
    <t>Euro/mq/mese - Palestra</t>
  </si>
  <si>
    <t>Euro/mq/mese - Bar</t>
  </si>
  <si>
    <t xml:space="preserve">  </t>
  </si>
  <si>
    <t>Affitto locali Bar</t>
  </si>
  <si>
    <t>Affitto locali Palestra</t>
  </si>
  <si>
    <t>Arredi Palestra</t>
  </si>
  <si>
    <t xml:space="preserve">Arredi Bar </t>
  </si>
  <si>
    <t>Foresteria permanente (euro/giorno)</t>
  </si>
  <si>
    <t>di cui mq palestra</t>
  </si>
  <si>
    <t>di cui mq commerciali</t>
  </si>
  <si>
    <t>Spazi commerciali Bar</t>
  </si>
  <si>
    <t>Spazi commerciali Palestra</t>
  </si>
  <si>
    <t>- DSU</t>
  </si>
  <si>
    <t>- Libero Mercato</t>
  </si>
  <si>
    <t>Acc. Ammortamento Palestra</t>
  </si>
  <si>
    <t>Acc. ammortamento palestra</t>
  </si>
  <si>
    <t>Affitto Bar</t>
  </si>
  <si>
    <t>Affitto Palestra</t>
  </si>
  <si>
    <t>Totale costi correnti</t>
  </si>
  <si>
    <t>IVA ESCLUSA</t>
  </si>
  <si>
    <t>8 anni</t>
  </si>
  <si>
    <t>Lunga permanenza - DSU</t>
  </si>
  <si>
    <t>Lunga permanenza - LIBERO MERCATO</t>
  </si>
  <si>
    <t>Occupazione lunga permanenza (gg) - DSU</t>
  </si>
  <si>
    <t>Costi di struttura (iva inclusa)</t>
  </si>
  <si>
    <t>Occupazione lunga permanenza (gg) - LIB. MERC.</t>
  </si>
  <si>
    <t>Energia/gas/acqua e internet</t>
  </si>
  <si>
    <t xml:space="preserve">Prezzo €/mq/mese </t>
  </si>
  <si>
    <t>Imposte</t>
  </si>
  <si>
    <t>PIANO ECONOMICO FINANZIARIO - GESTIONE RESIDENZA SAN GIOBBE</t>
  </si>
  <si>
    <r>
      <rPr>
        <b/>
        <sz val="14"/>
        <rFont val="Arial"/>
      </rPr>
      <t>INDICAZIONI DI UTILIZZO</t>
    </r>
    <r>
      <rPr>
        <sz val="14"/>
        <rFont val="Arial"/>
      </rPr>
      <t xml:space="preserve">:
Le celle in </t>
    </r>
    <r>
      <rPr>
        <sz val="14"/>
        <color rgb="FF00B050"/>
        <rFont val="Arial"/>
        <family val="2"/>
      </rPr>
      <t>verde</t>
    </r>
    <r>
      <rPr>
        <sz val="14"/>
        <rFont val="Arial"/>
      </rPr>
      <t xml:space="preserve"> sono valori di input/parametri da inserire per il calcolo del PEF.</t>
    </r>
  </si>
  <si>
    <t>POSTI LETTO SAN GIOBBE:</t>
  </si>
  <si>
    <t>SINGOLE</t>
  </si>
  <si>
    <t>DOPPIE</t>
  </si>
  <si>
    <t>CAMERE</t>
  </si>
  <si>
    <t>Canone di locazione annuo OFFERTO</t>
  </si>
  <si>
    <t>Rendimento immobile CALCOLATO</t>
  </si>
  <si>
    <t>DSU (euro/giorno)</t>
  </si>
  <si>
    <t>Libero Mercato (euro/giorno)</t>
  </si>
  <si>
    <t>PREZZO DI RIFERIMENTO
(IVA COMPRESA)</t>
  </si>
  <si>
    <t>Arredi Palestra (€/mq)</t>
  </si>
  <si>
    <t>Arredi Bar (€/mq)</t>
  </si>
  <si>
    <t>al mq</t>
  </si>
  <si>
    <t>Manutenzione ordinaria (€/mq residenza) annuo</t>
  </si>
  <si>
    <t>Pulizia spazi comuni (€/mq spazi comuni) annuo</t>
  </si>
  <si>
    <t>Cambio biancheria (€/gg) a posto letto</t>
  </si>
  <si>
    <r>
      <t>Energia/gas/acqua</t>
    </r>
    <r>
      <rPr>
        <sz val="11"/>
        <color rgb="FF000000"/>
        <rFont val="Arial"/>
        <family val="2"/>
      </rPr>
      <t xml:space="preserve"> e internet (€/mq) annuo</t>
    </r>
  </si>
  <si>
    <t>CONTO ECONOMICO DEL GESTORE - PRIMO ANNO</t>
  </si>
  <si>
    <t>Spazi non funzionali residenziali (spazi comuni)</t>
  </si>
  <si>
    <t>Costo Arredo</t>
  </si>
  <si>
    <t>CONTO ECONOMICO DEL GESTORE - SECONDO e TERZO ANNO</t>
  </si>
  <si>
    <t>Nota: Manutenzione esclusa per i primi 3 anni</t>
  </si>
  <si>
    <t>CONTO ECONOMICO DEL GESTORE - QUARTO, QUINTO e SESTO ANNO</t>
  </si>
  <si>
    <t>IN QUESTO FOGLIO UN PROSPETTO DEI PRIMI 6 ANNI DI ATTIVITA'</t>
  </si>
  <si>
    <t>Nota: Non sono stati considerati i primi 3 anni di manutenzione, inclusi nella manutenzione offerta in fase di gara da CMB</t>
  </si>
  <si>
    <t>Nota: Importo da considerare a partire dal 4° anno</t>
  </si>
  <si>
    <t>PREZZO DI RIFERIMENTO
€ / mese Iva inclusa</t>
  </si>
  <si>
    <t>€ / mese Iva inclusa</t>
  </si>
  <si>
    <t>PREZZO OFFERTO
€ / mese Iva inclusa</t>
  </si>
  <si>
    <t>Inserire %
SCONTO OFFERTO</t>
  </si>
  <si>
    <t>Arredi Camere e Spazi Comuni 
(ridotto del co-finanziamento massimo di € 2.400/posto letto)</t>
  </si>
  <si>
    <t>da riferire ad ogni posto letto</t>
  </si>
  <si>
    <t>annuo</t>
  </si>
  <si>
    <t>Nota: Vale solo per foresteria estiva</t>
  </si>
  <si>
    <t>Inserire importo per spese di pulizia EXTRA, ad inizio attività, per conclusione attività di cantiere</t>
  </si>
  <si>
    <t>% IMPOSTE</t>
  </si>
  <si>
    <t>Arredi Camere e Spazi Comuni</t>
  </si>
  <si>
    <t>Acc. Ammortamento Camere e Spazi Comuni</t>
  </si>
  <si>
    <t>Acc. Ammortamento Bar</t>
  </si>
  <si>
    <t>Acc. ammortamento Camere e Spazi Comuni</t>
  </si>
  <si>
    <t>Acc. ammortamento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</si>
</sst>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€&quot;\ * #,##0.00_-;\-&quot;€&quot;\ * #,##0.00_-;_-&quot;€&quot;\ * &quot;-&quot;??_-;_-@_-"/>
    <numFmt numFmtId="164" formatCode="_-* #,##0_-;\-* #,##0_-;_-* &quot;-&quot;??_-;_-@"/>
    <numFmt numFmtId="165" formatCode="#,##0;\-#,##0;\ \-"/>
    <numFmt numFmtId="166" formatCode="_-* #,##0.00\ _€_-;\-* #,##0.00\ _€_-;_-* &quot;-&quot;??\ _€_-;_-@"/>
    <numFmt numFmtId="167" formatCode="0.0%"/>
    <numFmt numFmtId="168" formatCode="_-* #,##0\ _€_-;\-* #,##0\ _€_-;_-* &quot;-&quot;??\ _€_-;_-@"/>
    <numFmt numFmtId="169" formatCode="#,##0,;\-#,##0,;\ \-"/>
    <numFmt numFmtId="170" formatCode="#,##0_ ;\-#,##0\ "/>
    <numFmt numFmtId="171" formatCode="0.0000%"/>
    <numFmt numFmtId="172" formatCode="#,##0.00_ ;\-#,##0.00\ "/>
    <numFmt numFmtId="173" formatCode="_-* #,##0.00_-;\-* #,##0.00_-;_-* &quot;-&quot;??_-;_-@"/>
    <numFmt numFmtId="174" formatCode="#,##0.00;\-#,##0.00;\ \-"/>
  </numFmts>
  <fonts count="50" x14ac:knownFonts="1">
    <font>
      <sz val="11"/>
      <color rgb="FF000000"/>
      <name val="Century Gothic"/>
    </font>
    <font>
      <sz val="16"/>
      <color rgb="FFFFFFFF"/>
      <name val="Arial"/>
    </font>
    <font>
      <sz val="16"/>
      <color rgb="FF000000"/>
      <name val="Arial"/>
    </font>
    <font>
      <sz val="11"/>
      <color rgb="FF000000"/>
      <name val="Arial"/>
    </font>
    <font>
      <sz val="11"/>
      <color rgb="FFFFFFFF"/>
      <name val="Arial"/>
    </font>
    <font>
      <sz val="14"/>
      <name val="Arial"/>
    </font>
    <font>
      <sz val="11"/>
      <name val="Century Gothic"/>
    </font>
    <font>
      <sz val="11"/>
      <name val="Arial"/>
    </font>
    <font>
      <i/>
      <sz val="11"/>
      <color rgb="FFFFFFFF"/>
      <name val="Arial"/>
    </font>
    <font>
      <i/>
      <sz val="11"/>
      <color rgb="FF000000"/>
      <name val="Arial"/>
    </font>
    <font>
      <b/>
      <sz val="11"/>
      <color rgb="FF000000"/>
      <name val="Arial"/>
    </font>
    <font>
      <b/>
      <i/>
      <sz val="11"/>
      <color rgb="FF000000"/>
      <name val="Arial"/>
    </font>
    <font>
      <b/>
      <sz val="11"/>
      <name val="Arial"/>
    </font>
    <font>
      <b/>
      <sz val="11"/>
      <color rgb="FFFFFFFF"/>
      <name val="Arial"/>
    </font>
    <font>
      <i/>
      <sz val="10"/>
      <color rgb="FF00000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sz val="10"/>
      <color rgb="FF000000"/>
      <name val="Arial"/>
    </font>
    <font>
      <sz val="10"/>
      <name val="Arial"/>
    </font>
    <font>
      <i/>
      <sz val="11"/>
      <name val="Arial"/>
    </font>
    <font>
      <sz val="11"/>
      <color rgb="FFFF0000"/>
      <name val="Arial"/>
    </font>
    <font>
      <sz val="9"/>
      <color rgb="FF000000"/>
      <name val="Arial"/>
    </font>
    <font>
      <b/>
      <sz val="16"/>
      <color rgb="FF000000"/>
      <name val="Arial"/>
    </font>
    <font>
      <sz val="12"/>
      <color rgb="FFFFFFFF"/>
      <name val="Arial"/>
    </font>
    <font>
      <i/>
      <sz val="16"/>
      <color rgb="FF000000"/>
      <name val="Arial"/>
    </font>
    <font>
      <b/>
      <i/>
      <sz val="14"/>
      <color rgb="FF000000"/>
      <name val="Arial"/>
    </font>
    <font>
      <sz val="8"/>
      <color rgb="FF000000"/>
      <name val="Arial"/>
    </font>
    <font>
      <i/>
      <sz val="9"/>
      <color rgb="FF000000"/>
      <name val="Arial"/>
    </font>
    <font>
      <sz val="10"/>
      <color rgb="FFFFFFFF"/>
      <name val="Arial"/>
    </font>
    <font>
      <i/>
      <sz val="9"/>
      <color rgb="FFFFFFFF"/>
      <name val="Arial"/>
    </font>
    <font>
      <i/>
      <sz val="10"/>
      <color rgb="FFFFFFFF"/>
      <name val="Arial"/>
    </font>
    <font>
      <b/>
      <sz val="14"/>
      <name val="Arial"/>
    </font>
    <font>
      <sz val="10"/>
      <color rgb="FFFFFFFF"/>
      <name val="Goudy Old Style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entury Gothic"/>
    </font>
    <font>
      <sz val="14"/>
      <color rgb="FF00B05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color rgb="FF000000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11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33399"/>
        <bgColor rgb="FF333399"/>
      </patternFill>
    </fill>
    <fill>
      <patternFill patternType="solid">
        <fgColor rgb="FF808080"/>
        <bgColor rgb="FF808080"/>
      </patternFill>
    </fill>
    <fill>
      <patternFill patternType="solid">
        <fgColor rgb="FFB8E0E3"/>
        <bgColor rgb="FFB8E0E3"/>
      </patternFill>
    </fill>
    <fill>
      <patternFill patternType="solid">
        <fgColor rgb="FFBADDE1"/>
        <bgColor rgb="FFBADDE1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B8E0E3"/>
      </patternFill>
    </fill>
    <fill>
      <patternFill patternType="solid">
        <fgColor rgb="FF00B050"/>
        <bgColor rgb="FFBADD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8E0E3"/>
      </patternFill>
    </fill>
    <fill>
      <patternFill patternType="solid">
        <fgColor theme="0"/>
        <bgColor rgb="FFFFFFFF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566">
    <xf numFmtId="0" fontId="0" fillId="0" borderId="0" xfId="0" applyFont="1" applyAlignment="1"/>
    <xf numFmtId="0" fontId="1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top" wrapText="1"/>
    </xf>
    <xf numFmtId="164" fontId="4" fillId="6" borderId="12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/>
    </xf>
    <xf numFmtId="0" fontId="3" fillId="4" borderId="16" xfId="0" applyFont="1" applyFill="1" applyBorder="1"/>
    <xf numFmtId="0" fontId="4" fillId="6" borderId="14" xfId="0" applyFont="1" applyFill="1" applyBorder="1" applyAlignment="1">
      <alignment horizontal="center"/>
    </xf>
    <xf numFmtId="0" fontId="3" fillId="3" borderId="2" xfId="0" applyFont="1" applyFill="1" applyBorder="1"/>
    <xf numFmtId="164" fontId="3" fillId="3" borderId="12" xfId="0" applyNumberFormat="1" applyFont="1" applyFill="1" applyBorder="1"/>
    <xf numFmtId="9" fontId="9" fillId="3" borderId="14" xfId="0" applyNumberFormat="1" applyFont="1" applyFill="1" applyBorder="1"/>
    <xf numFmtId="3" fontId="7" fillId="3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/>
    <xf numFmtId="164" fontId="7" fillId="3" borderId="19" xfId="0" applyNumberFormat="1" applyFont="1" applyFill="1" applyBorder="1" applyAlignment="1">
      <alignment horizontal="center" vertical="top" wrapText="1"/>
    </xf>
    <xf numFmtId="0" fontId="3" fillId="3" borderId="17" xfId="0" applyFont="1" applyFill="1" applyBorder="1"/>
    <xf numFmtId="10" fontId="9" fillId="3" borderId="1" xfId="0" applyNumberFormat="1" applyFont="1" applyFill="1" applyBorder="1"/>
    <xf numFmtId="164" fontId="3" fillId="3" borderId="1" xfId="0" applyNumberFormat="1" applyFont="1" applyFill="1" applyBorder="1"/>
    <xf numFmtId="9" fontId="9" fillId="3" borderId="19" xfId="0" applyNumberFormat="1" applyFont="1" applyFill="1" applyBorder="1"/>
    <xf numFmtId="0" fontId="10" fillId="3" borderId="10" xfId="0" applyFont="1" applyFill="1" applyBorder="1"/>
    <xf numFmtId="9" fontId="9" fillId="3" borderId="1" xfId="0" applyNumberFormat="1" applyFont="1" applyFill="1" applyBorder="1"/>
    <xf numFmtId="164" fontId="10" fillId="3" borderId="13" xfId="0" applyNumberFormat="1" applyFont="1" applyFill="1" applyBorder="1"/>
    <xf numFmtId="9" fontId="11" fillId="3" borderId="11" xfId="0" applyNumberFormat="1" applyFont="1" applyFill="1" applyBorder="1"/>
    <xf numFmtId="165" fontId="7" fillId="3" borderId="19" xfId="0" applyNumberFormat="1" applyFont="1" applyFill="1" applyBorder="1"/>
    <xf numFmtId="0" fontId="10" fillId="4" borderId="8" xfId="0" applyFont="1" applyFill="1" applyBorder="1"/>
    <xf numFmtId="164" fontId="10" fillId="4" borderId="1" xfId="0" applyNumberFormat="1" applyFont="1" applyFill="1" applyBorder="1"/>
    <xf numFmtId="9" fontId="11" fillId="4" borderId="1" xfId="0" applyNumberFormat="1" applyFont="1" applyFill="1" applyBorder="1"/>
    <xf numFmtId="0" fontId="3" fillId="3" borderId="12" xfId="0" applyFont="1" applyFill="1" applyBorder="1"/>
    <xf numFmtId="166" fontId="3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/>
    </xf>
    <xf numFmtId="164" fontId="12" fillId="3" borderId="13" xfId="0" applyNumberFormat="1" applyFont="1" applyFill="1" applyBorder="1" applyAlignment="1">
      <alignment horizontal="left" vertical="top" wrapText="1"/>
    </xf>
    <xf numFmtId="3" fontId="12" fillId="3" borderId="13" xfId="0" applyNumberFormat="1" applyFont="1" applyFill="1" applyBorder="1" applyAlignment="1">
      <alignment horizontal="right" vertical="top" wrapText="1"/>
    </xf>
    <xf numFmtId="0" fontId="10" fillId="3" borderId="22" xfId="0" applyFont="1" applyFill="1" applyBorder="1"/>
    <xf numFmtId="164" fontId="12" fillId="3" borderId="13" xfId="0" applyNumberFormat="1" applyFont="1" applyFill="1" applyBorder="1" applyAlignment="1">
      <alignment horizontal="center" vertical="top" wrapText="1"/>
    </xf>
    <xf numFmtId="10" fontId="11" fillId="3" borderId="15" xfId="0" applyNumberFormat="1" applyFont="1" applyFill="1" applyBorder="1"/>
    <xf numFmtId="164" fontId="10" fillId="3" borderId="1" xfId="0" applyNumberFormat="1" applyFont="1" applyFill="1" applyBorder="1"/>
    <xf numFmtId="9" fontId="11" fillId="3" borderId="12" xfId="0" applyNumberFormat="1" applyFont="1" applyFill="1" applyBorder="1" applyAlignment="1">
      <alignment horizontal="right"/>
    </xf>
    <xf numFmtId="0" fontId="3" fillId="3" borderId="10" xfId="0" applyFont="1" applyFill="1" applyBorder="1"/>
    <xf numFmtId="0" fontId="13" fillId="6" borderId="10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center"/>
    </xf>
    <xf numFmtId="165" fontId="10" fillId="3" borderId="21" xfId="0" applyNumberFormat="1" applyFont="1" applyFill="1" applyBorder="1"/>
    <xf numFmtId="164" fontId="12" fillId="6" borderId="13" xfId="0" applyNumberFormat="1" applyFont="1" applyFill="1" applyBorder="1" applyAlignment="1">
      <alignment horizontal="left" vertical="top"/>
    </xf>
    <xf numFmtId="165" fontId="12" fillId="3" borderId="11" xfId="0" applyNumberFormat="1" applyFont="1" applyFill="1" applyBorder="1"/>
    <xf numFmtId="0" fontId="3" fillId="3" borderId="23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164" fontId="12" fillId="3" borderId="1" xfId="0" applyNumberFormat="1" applyFont="1" applyFill="1" applyBorder="1" applyAlignment="1">
      <alignment horizontal="left" vertical="top" wrapText="1"/>
    </xf>
    <xf numFmtId="3" fontId="12" fillId="3" borderId="1" xfId="0" applyNumberFormat="1" applyFont="1" applyFill="1" applyBorder="1" applyAlignment="1">
      <alignment horizontal="right" vertical="top" wrapText="1"/>
    </xf>
    <xf numFmtId="164" fontId="12" fillId="3" borderId="1" xfId="0" applyNumberFormat="1" applyFont="1" applyFill="1" applyBorder="1" applyAlignment="1">
      <alignment horizontal="center" vertical="top" wrapText="1"/>
    </xf>
    <xf numFmtId="10" fontId="11" fillId="3" borderId="1" xfId="0" applyNumberFormat="1" applyFont="1" applyFill="1" applyBorder="1"/>
    <xf numFmtId="165" fontId="12" fillId="3" borderId="1" xfId="0" applyNumberFormat="1" applyFont="1" applyFill="1" applyBorder="1"/>
    <xf numFmtId="165" fontId="3" fillId="3" borderId="18" xfId="0" applyNumberFormat="1" applyFont="1" applyFill="1" applyBorder="1"/>
    <xf numFmtId="0" fontId="3" fillId="3" borderId="8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top"/>
    </xf>
    <xf numFmtId="164" fontId="12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/>
    <xf numFmtId="0" fontId="3" fillId="3" borderId="21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4" fillId="3" borderId="18" xfId="0" applyFont="1" applyFill="1" applyBorder="1" applyAlignment="1">
      <alignment horizontal="left" vertical="center"/>
    </xf>
    <xf numFmtId="165" fontId="3" fillId="3" borderId="20" xfId="0" applyNumberFormat="1" applyFont="1" applyFill="1" applyBorder="1"/>
    <xf numFmtId="0" fontId="3" fillId="4" borderId="8" xfId="0" applyFont="1" applyFill="1" applyBorder="1" applyAlignment="1">
      <alignment horizontal="left"/>
    </xf>
    <xf numFmtId="9" fontId="9" fillId="4" borderId="1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vertical="center"/>
    </xf>
    <xf numFmtId="9" fontId="9" fillId="3" borderId="1" xfId="0" applyNumberFormat="1" applyFont="1" applyFill="1" applyBorder="1" applyAlignment="1">
      <alignment horizontal="right"/>
    </xf>
    <xf numFmtId="0" fontId="3" fillId="3" borderId="15" xfId="0" applyFont="1" applyFill="1" applyBorder="1"/>
    <xf numFmtId="0" fontId="3" fillId="3" borderId="25" xfId="0" applyFont="1" applyFill="1" applyBorder="1"/>
    <xf numFmtId="0" fontId="3" fillId="3" borderId="1" xfId="0" applyFont="1" applyFill="1" applyBorder="1" applyAlignment="1"/>
    <xf numFmtId="0" fontId="15" fillId="3" borderId="15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29" xfId="0" applyFont="1" applyFill="1" applyBorder="1"/>
    <xf numFmtId="9" fontId="9" fillId="4" borderId="29" xfId="0" applyNumberFormat="1" applyFont="1" applyFill="1" applyBorder="1" applyAlignment="1">
      <alignment horizontal="right"/>
    </xf>
    <xf numFmtId="165" fontId="3" fillId="4" borderId="29" xfId="0" applyNumberFormat="1" applyFont="1" applyFill="1" applyBorder="1"/>
    <xf numFmtId="0" fontId="3" fillId="4" borderId="30" xfId="0" applyFont="1" applyFill="1" applyBorder="1"/>
    <xf numFmtId="0" fontId="17" fillId="3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/>
    <xf numFmtId="0" fontId="3" fillId="3" borderId="2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center"/>
    </xf>
    <xf numFmtId="3" fontId="16" fillId="3" borderId="1" xfId="0" applyNumberFormat="1" applyFont="1" applyFill="1" applyBorder="1" applyAlignment="1">
      <alignment vertical="center"/>
    </xf>
    <xf numFmtId="167" fontId="16" fillId="3" borderId="1" xfId="0" applyNumberFormat="1" applyFont="1" applyFill="1" applyBorder="1"/>
    <xf numFmtId="0" fontId="15" fillId="3" borderId="10" xfId="0" applyFont="1" applyFill="1" applyBorder="1"/>
    <xf numFmtId="9" fontId="16" fillId="3" borderId="1" xfId="0" applyNumberFormat="1" applyFont="1" applyFill="1" applyBorder="1"/>
    <xf numFmtId="0" fontId="3" fillId="3" borderId="11" xfId="0" applyFont="1" applyFill="1" applyBorder="1"/>
    <xf numFmtId="9" fontId="17" fillId="3" borderId="10" xfId="0" applyNumberFormat="1" applyFont="1" applyFill="1" applyBorder="1" applyAlignment="1">
      <alignment horizontal="center"/>
    </xf>
    <xf numFmtId="0" fontId="7" fillId="3" borderId="18" xfId="0" applyFont="1" applyFill="1" applyBorder="1"/>
    <xf numFmtId="9" fontId="17" fillId="3" borderId="27" xfId="0" applyNumberFormat="1" applyFont="1" applyFill="1" applyBorder="1" applyAlignment="1">
      <alignment horizontal="center"/>
    </xf>
    <xf numFmtId="164" fontId="3" fillId="7" borderId="2" xfId="0" applyNumberFormat="1" applyFont="1" applyFill="1" applyBorder="1"/>
    <xf numFmtId="164" fontId="17" fillId="3" borderId="14" xfId="0" applyNumberFormat="1" applyFont="1" applyFill="1" applyBorder="1"/>
    <xf numFmtId="164" fontId="3" fillId="7" borderId="17" xfId="0" applyNumberFormat="1" applyFont="1" applyFill="1" applyBorder="1"/>
    <xf numFmtId="0" fontId="3" fillId="3" borderId="26" xfId="0" applyFont="1" applyFill="1" applyBorder="1"/>
    <xf numFmtId="164" fontId="17" fillId="3" borderId="19" xfId="0" applyNumberFormat="1" applyFont="1" applyFill="1" applyBorder="1"/>
    <xf numFmtId="164" fontId="3" fillId="7" borderId="26" xfId="0" applyNumberFormat="1" applyFont="1" applyFill="1" applyBorder="1"/>
    <xf numFmtId="164" fontId="17" fillId="3" borderId="27" xfId="0" applyNumberFormat="1" applyFont="1" applyFill="1" applyBorder="1"/>
    <xf numFmtId="0" fontId="7" fillId="3" borderId="1" xfId="0" applyFont="1" applyFill="1" applyBorder="1"/>
    <xf numFmtId="0" fontId="3" fillId="3" borderId="13" xfId="0" applyFont="1" applyFill="1" applyBorder="1"/>
    <xf numFmtId="166" fontId="7" fillId="3" borderId="1" xfId="0" applyNumberFormat="1" applyFont="1" applyFill="1" applyBorder="1"/>
    <xf numFmtId="0" fontId="20" fillId="3" borderId="1" xfId="0" applyFont="1" applyFill="1" applyBorder="1"/>
    <xf numFmtId="166" fontId="7" fillId="4" borderId="1" xfId="0" applyNumberFormat="1" applyFont="1" applyFill="1" applyBorder="1"/>
    <xf numFmtId="0" fontId="7" fillId="3" borderId="2" xfId="0" applyFont="1" applyFill="1" applyBorder="1"/>
    <xf numFmtId="9" fontId="3" fillId="3" borderId="1" xfId="0" applyNumberFormat="1" applyFont="1" applyFill="1" applyBorder="1"/>
    <xf numFmtId="0" fontId="12" fillId="3" borderId="10" xfId="0" applyFont="1" applyFill="1" applyBorder="1"/>
    <xf numFmtId="0" fontId="7" fillId="3" borderId="17" xfId="0" applyFont="1" applyFill="1" applyBorder="1"/>
    <xf numFmtId="9" fontId="19" fillId="3" borderId="1" xfId="0" applyNumberFormat="1" applyFont="1" applyFill="1" applyBorder="1"/>
    <xf numFmtId="164" fontId="20" fillId="3" borderId="1" xfId="0" applyNumberFormat="1" applyFont="1" applyFill="1" applyBorder="1"/>
    <xf numFmtId="0" fontId="17" fillId="3" borderId="1" xfId="0" applyFont="1" applyFill="1" applyBorder="1"/>
    <xf numFmtId="0" fontId="12" fillId="3" borderId="1" xfId="0" applyFont="1" applyFill="1" applyBorder="1"/>
    <xf numFmtId="164" fontId="12" fillId="3" borderId="1" xfId="0" applyNumberFormat="1" applyFont="1" applyFill="1" applyBorder="1"/>
    <xf numFmtId="0" fontId="20" fillId="3" borderId="1" xfId="0" applyFont="1" applyFill="1" applyBorder="1" applyAlignment="1">
      <alignment horizontal="center"/>
    </xf>
    <xf numFmtId="0" fontId="7" fillId="3" borderId="21" xfId="0" applyFont="1" applyFill="1" applyBorder="1"/>
    <xf numFmtId="0" fontId="10" fillId="3" borderId="21" xfId="0" applyFont="1" applyFill="1" applyBorder="1"/>
    <xf numFmtId="0" fontId="7" fillId="3" borderId="20" xfId="0" applyFont="1" applyFill="1" applyBorder="1" applyAlignment="1">
      <alignment wrapText="1"/>
    </xf>
    <xf numFmtId="165" fontId="3" fillId="3" borderId="12" xfId="0" applyNumberFormat="1" applyFont="1" applyFill="1" applyBorder="1"/>
    <xf numFmtId="167" fontId="3" fillId="3" borderId="1" xfId="0" applyNumberFormat="1" applyFont="1" applyFill="1" applyBorder="1"/>
    <xf numFmtId="0" fontId="14" fillId="3" borderId="17" xfId="0" applyFont="1" applyFill="1" applyBorder="1"/>
    <xf numFmtId="165" fontId="14" fillId="3" borderId="1" xfId="0" applyNumberFormat="1" applyFont="1" applyFill="1" applyBorder="1"/>
    <xf numFmtId="0" fontId="3" fillId="3" borderId="18" xfId="0" applyFont="1" applyFill="1" applyBorder="1"/>
    <xf numFmtId="0" fontId="3" fillId="3" borderId="20" xfId="0" applyFont="1" applyFill="1" applyBorder="1"/>
    <xf numFmtId="0" fontId="10" fillId="3" borderId="2" xfId="0" applyFont="1" applyFill="1" applyBorder="1"/>
    <xf numFmtId="165" fontId="10" fillId="3" borderId="12" xfId="0" applyNumberFormat="1" applyFont="1" applyFill="1" applyBorder="1"/>
    <xf numFmtId="165" fontId="10" fillId="3" borderId="13" xfId="0" applyNumberFormat="1" applyFont="1" applyFill="1" applyBorder="1"/>
    <xf numFmtId="0" fontId="10" fillId="3" borderId="15" xfId="0" applyFont="1" applyFill="1" applyBorder="1"/>
    <xf numFmtId="0" fontId="10" fillId="3" borderId="17" xfId="0" applyFont="1" applyFill="1" applyBorder="1"/>
    <xf numFmtId="165" fontId="10" fillId="3" borderId="1" xfId="0" applyNumberFormat="1" applyFont="1" applyFill="1" applyBorder="1"/>
    <xf numFmtId="167" fontId="11" fillId="3" borderId="1" xfId="0" applyNumberFormat="1" applyFont="1" applyFill="1" applyBorder="1"/>
    <xf numFmtId="0" fontId="10" fillId="3" borderId="26" xfId="0" applyFont="1" applyFill="1" applyBorder="1"/>
    <xf numFmtId="165" fontId="3" fillId="3" borderId="2" xfId="0" applyNumberFormat="1" applyFont="1" applyFill="1" applyBorder="1"/>
    <xf numFmtId="165" fontId="3" fillId="3" borderId="17" xfId="0" applyNumberFormat="1" applyFont="1" applyFill="1" applyBorder="1"/>
    <xf numFmtId="9" fontId="3" fillId="3" borderId="13" xfId="0" applyNumberFormat="1" applyFont="1" applyFill="1" applyBorder="1"/>
    <xf numFmtId="9" fontId="3" fillId="3" borderId="12" xfId="0" applyNumberFormat="1" applyFont="1" applyFill="1" applyBorder="1"/>
    <xf numFmtId="9" fontId="3" fillId="3" borderId="25" xfId="0" applyNumberFormat="1" applyFont="1" applyFill="1" applyBorder="1"/>
    <xf numFmtId="0" fontId="10" fillId="3" borderId="1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4" fillId="5" borderId="2" xfId="0" applyFont="1" applyFill="1" applyBorder="1"/>
    <xf numFmtId="165" fontId="3" fillId="3" borderId="21" xfId="0" applyNumberFormat="1" applyFont="1" applyFill="1" applyBorder="1"/>
    <xf numFmtId="165" fontId="14" fillId="3" borderId="18" xfId="0" applyNumberFormat="1" applyFont="1" applyFill="1" applyBorder="1"/>
    <xf numFmtId="0" fontId="4" fillId="6" borderId="10" xfId="0" applyFont="1" applyFill="1" applyBorder="1"/>
    <xf numFmtId="17" fontId="3" fillId="3" borderId="13" xfId="0" quotePrefix="1" applyNumberFormat="1" applyFont="1" applyFill="1" applyBorder="1" applyAlignment="1">
      <alignment horizontal="center"/>
    </xf>
    <xf numFmtId="169" fontId="10" fillId="3" borderId="10" xfId="0" applyNumberFormat="1" applyFont="1" applyFill="1" applyBorder="1"/>
    <xf numFmtId="169" fontId="10" fillId="3" borderId="13" xfId="0" applyNumberFormat="1" applyFont="1" applyFill="1" applyBorder="1"/>
    <xf numFmtId="169" fontId="10" fillId="3" borderId="11" xfId="0" applyNumberFormat="1" applyFont="1" applyFill="1" applyBorder="1"/>
    <xf numFmtId="169" fontId="3" fillId="3" borderId="1" xfId="0" applyNumberFormat="1" applyFont="1" applyFill="1" applyBorder="1"/>
    <xf numFmtId="169" fontId="3" fillId="3" borderId="2" xfId="0" applyNumberFormat="1" applyFont="1" applyFill="1" applyBorder="1"/>
    <xf numFmtId="169" fontId="3" fillId="3" borderId="12" xfId="0" applyNumberFormat="1" applyFont="1" applyFill="1" applyBorder="1"/>
    <xf numFmtId="169" fontId="3" fillId="3" borderId="14" xfId="0" applyNumberFormat="1" applyFont="1" applyFill="1" applyBorder="1"/>
    <xf numFmtId="169" fontId="3" fillId="3" borderId="17" xfId="0" applyNumberFormat="1" applyFont="1" applyFill="1" applyBorder="1"/>
    <xf numFmtId="169" fontId="3" fillId="3" borderId="19" xfId="0" applyNumberFormat="1" applyFont="1" applyFill="1" applyBorder="1"/>
    <xf numFmtId="170" fontId="10" fillId="3" borderId="15" xfId="0" applyNumberFormat="1" applyFont="1" applyFill="1" applyBorder="1"/>
    <xf numFmtId="170" fontId="10" fillId="3" borderId="13" xfId="0" applyNumberFormat="1" applyFont="1" applyFill="1" applyBorder="1"/>
    <xf numFmtId="169" fontId="3" fillId="3" borderId="26" xfId="0" applyNumberFormat="1" applyFont="1" applyFill="1" applyBorder="1"/>
    <xf numFmtId="169" fontId="3" fillId="3" borderId="25" xfId="0" applyNumberFormat="1" applyFont="1" applyFill="1" applyBorder="1"/>
    <xf numFmtId="169" fontId="3" fillId="3" borderId="27" xfId="0" applyNumberFormat="1" applyFont="1" applyFill="1" applyBorder="1"/>
    <xf numFmtId="169" fontId="10" fillId="3" borderId="2" xfId="0" applyNumberFormat="1" applyFont="1" applyFill="1" applyBorder="1"/>
    <xf numFmtId="165" fontId="10" fillId="3" borderId="15" xfId="0" applyNumberFormat="1" applyFont="1" applyFill="1" applyBorder="1"/>
    <xf numFmtId="169" fontId="10" fillId="3" borderId="12" xfId="0" applyNumberFormat="1" applyFont="1" applyFill="1" applyBorder="1"/>
    <xf numFmtId="169" fontId="10" fillId="3" borderId="14" xfId="0" applyNumberFormat="1" applyFont="1" applyFill="1" applyBorder="1"/>
    <xf numFmtId="0" fontId="4" fillId="5" borderId="17" xfId="0" applyFont="1" applyFill="1" applyBorder="1"/>
    <xf numFmtId="0" fontId="10" fillId="3" borderId="33" xfId="0" applyFont="1" applyFill="1" applyBorder="1"/>
    <xf numFmtId="169" fontId="10" fillId="3" borderId="34" xfId="0" applyNumberFormat="1" applyFont="1" applyFill="1" applyBorder="1"/>
    <xf numFmtId="169" fontId="10" fillId="3" borderId="35" xfId="0" applyNumberFormat="1" applyFont="1" applyFill="1" applyBorder="1"/>
    <xf numFmtId="169" fontId="10" fillId="3" borderId="36" xfId="0" applyNumberFormat="1" applyFont="1" applyFill="1" applyBorder="1"/>
    <xf numFmtId="0" fontId="4" fillId="6" borderId="21" xfId="0" applyFont="1" applyFill="1" applyBorder="1"/>
    <xf numFmtId="0" fontId="3" fillId="3" borderId="21" xfId="0" applyFont="1" applyFill="1" applyBorder="1"/>
    <xf numFmtId="17" fontId="3" fillId="3" borderId="13" xfId="0" applyNumberFormat="1" applyFont="1" applyFill="1" applyBorder="1" applyAlignment="1">
      <alignment horizontal="center"/>
    </xf>
    <xf numFmtId="169" fontId="10" fillId="3" borderId="1" xfId="0" applyNumberFormat="1" applyFont="1" applyFill="1" applyBorder="1"/>
    <xf numFmtId="165" fontId="3" fillId="0" borderId="37" xfId="0" applyNumberFormat="1" applyFont="1" applyBorder="1"/>
    <xf numFmtId="165" fontId="3" fillId="3" borderId="25" xfId="0" applyNumberFormat="1" applyFont="1" applyFill="1" applyBorder="1"/>
    <xf numFmtId="0" fontId="10" fillId="3" borderId="38" xfId="0" applyFont="1" applyFill="1" applyBorder="1"/>
    <xf numFmtId="169" fontId="3" fillId="3" borderId="38" xfId="0" applyNumberFormat="1" applyFont="1" applyFill="1" applyBorder="1"/>
    <xf numFmtId="0" fontId="10" fillId="3" borderId="39" xfId="0" applyFont="1" applyFill="1" applyBorder="1"/>
    <xf numFmtId="169" fontId="3" fillId="3" borderId="36" xfId="0" applyNumberFormat="1" applyFont="1" applyFill="1" applyBorder="1"/>
    <xf numFmtId="165" fontId="10" fillId="3" borderId="25" xfId="0" applyNumberFormat="1" applyFont="1" applyFill="1" applyBorder="1"/>
    <xf numFmtId="0" fontId="22" fillId="3" borderId="33" xfId="0" applyFont="1" applyFill="1" applyBorder="1"/>
    <xf numFmtId="165" fontId="22" fillId="3" borderId="35" xfId="0" applyNumberFormat="1" applyFont="1" applyFill="1" applyBorder="1"/>
    <xf numFmtId="167" fontId="22" fillId="3" borderId="36" xfId="0" applyNumberFormat="1" applyFont="1" applyFill="1" applyBorder="1"/>
    <xf numFmtId="169" fontId="10" fillId="3" borderId="38" xfId="0" applyNumberFormat="1" applyFont="1" applyFill="1" applyBorder="1"/>
    <xf numFmtId="0" fontId="13" fillId="6" borderId="10" xfId="0" applyFont="1" applyFill="1" applyBorder="1"/>
    <xf numFmtId="10" fontId="3" fillId="4" borderId="15" xfId="0" applyNumberFormat="1" applyFont="1" applyFill="1" applyBorder="1"/>
    <xf numFmtId="10" fontId="3" fillId="7" borderId="15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14" fontId="7" fillId="7" borderId="2" xfId="0" applyNumberFormat="1" applyFont="1" applyFill="1" applyBorder="1" applyAlignment="1">
      <alignment horizontal="center" vertical="center" wrapText="1"/>
    </xf>
    <xf numFmtId="14" fontId="7" fillId="7" borderId="12" xfId="0" applyNumberFormat="1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23" fillId="6" borderId="17" xfId="0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/>
    </xf>
    <xf numFmtId="10" fontId="24" fillId="3" borderId="14" xfId="0" applyNumberFormat="1" applyFont="1" applyFill="1" applyBorder="1" applyAlignment="1">
      <alignment horizontal="center" vertical="center"/>
    </xf>
    <xf numFmtId="0" fontId="23" fillId="6" borderId="26" xfId="0" applyFont="1" applyFill="1" applyBorder="1" applyAlignment="1">
      <alignment horizontal="center" vertical="center" wrapText="1"/>
    </xf>
    <xf numFmtId="10" fontId="24" fillId="3" borderId="26" xfId="0" applyNumberFormat="1" applyFont="1" applyFill="1" applyBorder="1" applyAlignment="1">
      <alignment horizontal="center" vertical="center"/>
    </xf>
    <xf numFmtId="10" fontId="24" fillId="3" borderId="27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14" fontId="4" fillId="6" borderId="13" xfId="0" applyNumberFormat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3" fontId="3" fillId="3" borderId="27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10" fontId="25" fillId="3" borderId="11" xfId="0" applyNumberFormat="1" applyFont="1" applyFill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0" fontId="26" fillId="3" borderId="1" xfId="0" applyFont="1" applyFill="1" applyBorder="1"/>
    <xf numFmtId="0" fontId="3" fillId="3" borderId="2" xfId="0" applyFont="1" applyFill="1" applyBorder="1" applyAlignment="1">
      <alignment vertical="center" wrapText="1"/>
    </xf>
    <xf numFmtId="10" fontId="3" fillId="3" borderId="1" xfId="0" applyNumberFormat="1" applyFont="1" applyFill="1" applyBorder="1"/>
    <xf numFmtId="3" fontId="3" fillId="3" borderId="14" xfId="0" applyNumberFormat="1" applyFont="1" applyFill="1" applyBorder="1" applyAlignment="1">
      <alignment vertical="center"/>
    </xf>
    <xf numFmtId="171" fontId="3" fillId="7" borderId="14" xfId="0" applyNumberFormat="1" applyFont="1" applyFill="1" applyBorder="1"/>
    <xf numFmtId="10" fontId="9" fillId="3" borderId="21" xfId="0" applyNumberFormat="1" applyFont="1" applyFill="1" applyBorder="1" applyAlignment="1">
      <alignment vertical="center"/>
    </xf>
    <xf numFmtId="171" fontId="3" fillId="7" borderId="19" xfId="0" applyNumberFormat="1" applyFont="1" applyFill="1" applyBorder="1"/>
    <xf numFmtId="0" fontId="14" fillId="3" borderId="17" xfId="0" applyFont="1" applyFill="1" applyBorder="1" applyAlignment="1">
      <alignment horizontal="left" vertical="center" wrapText="1"/>
    </xf>
    <xf numFmtId="166" fontId="3" fillId="7" borderId="27" xfId="0" applyNumberFormat="1" applyFont="1" applyFill="1" applyBorder="1"/>
    <xf numFmtId="3" fontId="14" fillId="3" borderId="19" xfId="0" applyNumberFormat="1" applyFont="1" applyFill="1" applyBorder="1" applyAlignment="1">
      <alignment vertical="center"/>
    </xf>
    <xf numFmtId="10" fontId="14" fillId="3" borderId="18" xfId="0" applyNumberFormat="1" applyFont="1" applyFill="1" applyBorder="1" applyAlignment="1">
      <alignment vertical="center"/>
    </xf>
    <xf numFmtId="171" fontId="3" fillId="3" borderId="11" xfId="0" applyNumberFormat="1" applyFont="1" applyFill="1" applyBorder="1"/>
    <xf numFmtId="0" fontId="26" fillId="3" borderId="12" xfId="0" applyFont="1" applyFill="1" applyBorder="1" applyAlignment="1">
      <alignment vertical="top"/>
    </xf>
    <xf numFmtId="0" fontId="3" fillId="3" borderId="26" xfId="0" applyFont="1" applyFill="1" applyBorder="1" applyAlignment="1">
      <alignment vertical="center" wrapText="1"/>
    </xf>
    <xf numFmtId="0" fontId="21" fillId="3" borderId="1" xfId="0" applyFont="1" applyFill="1" applyBorder="1"/>
    <xf numFmtId="10" fontId="9" fillId="3" borderId="20" xfId="0" applyNumberFormat="1" applyFont="1" applyFill="1" applyBorder="1" applyAlignment="1">
      <alignment vertical="center"/>
    </xf>
    <xf numFmtId="171" fontId="3" fillId="7" borderId="11" xfId="0" applyNumberFormat="1" applyFont="1" applyFill="1" applyBorder="1"/>
    <xf numFmtId="0" fontId="4" fillId="6" borderId="10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vertical="center"/>
    </xf>
    <xf numFmtId="9" fontId="9" fillId="3" borderId="12" xfId="0" applyNumberFormat="1" applyFont="1" applyFill="1" applyBorder="1" applyAlignment="1">
      <alignment vertical="center"/>
    </xf>
    <xf numFmtId="9" fontId="9" fillId="3" borderId="19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vertical="center"/>
    </xf>
    <xf numFmtId="9" fontId="9" fillId="3" borderId="1" xfId="0" applyNumberFormat="1" applyFont="1" applyFill="1" applyBorder="1" applyAlignment="1">
      <alignment vertical="center"/>
    </xf>
    <xf numFmtId="10" fontId="9" fillId="3" borderId="18" xfId="0" applyNumberFormat="1" applyFont="1" applyFill="1" applyBorder="1" applyAlignment="1">
      <alignment vertical="center"/>
    </xf>
    <xf numFmtId="0" fontId="27" fillId="3" borderId="18" xfId="0" applyFont="1" applyFill="1" applyBorder="1" applyAlignment="1">
      <alignment horizontal="left" vertical="center"/>
    </xf>
    <xf numFmtId="3" fontId="27" fillId="3" borderId="1" xfId="0" applyNumberFormat="1" applyFont="1" applyFill="1" applyBorder="1" applyAlignment="1">
      <alignment vertical="center"/>
    </xf>
    <xf numFmtId="9" fontId="27" fillId="3" borderId="1" xfId="0" applyNumberFormat="1" applyFont="1" applyFill="1" applyBorder="1" applyAlignment="1">
      <alignment vertical="center"/>
    </xf>
    <xf numFmtId="9" fontId="27" fillId="3" borderId="19" xfId="0" applyNumberFormat="1" applyFont="1" applyFill="1" applyBorder="1" applyAlignment="1">
      <alignment vertical="center"/>
    </xf>
    <xf numFmtId="10" fontId="27" fillId="3" borderId="18" xfId="0" applyNumberFormat="1" applyFont="1" applyFill="1" applyBorder="1" applyAlignment="1">
      <alignment vertical="center"/>
    </xf>
    <xf numFmtId="0" fontId="27" fillId="3" borderId="20" xfId="0" applyFont="1" applyFill="1" applyBorder="1" applyAlignment="1">
      <alignment horizontal="left" vertical="center"/>
    </xf>
    <xf numFmtId="3" fontId="27" fillId="3" borderId="25" xfId="0" applyNumberFormat="1" applyFont="1" applyFill="1" applyBorder="1" applyAlignment="1">
      <alignment vertical="center"/>
    </xf>
    <xf numFmtId="9" fontId="27" fillId="3" borderId="25" xfId="0" applyNumberFormat="1" applyFont="1" applyFill="1" applyBorder="1" applyAlignment="1">
      <alignment vertical="center"/>
    </xf>
    <xf numFmtId="9" fontId="27" fillId="3" borderId="27" xfId="0" applyNumberFormat="1" applyFont="1" applyFill="1" applyBorder="1" applyAlignment="1">
      <alignment vertical="center"/>
    </xf>
    <xf numFmtId="10" fontId="27" fillId="3" borderId="20" xfId="0" applyNumberFormat="1" applyFont="1" applyFill="1" applyBorder="1" applyAlignment="1">
      <alignment vertical="center"/>
    </xf>
    <xf numFmtId="0" fontId="17" fillId="3" borderId="3" xfId="0" applyFont="1" applyFill="1" applyBorder="1"/>
    <xf numFmtId="0" fontId="17" fillId="3" borderId="4" xfId="0" applyFont="1" applyFill="1" applyBorder="1"/>
    <xf numFmtId="0" fontId="17" fillId="3" borderId="6" xfId="0" applyFont="1" applyFill="1" applyBorder="1"/>
    <xf numFmtId="0" fontId="17" fillId="3" borderId="8" xfId="0" applyFont="1" applyFill="1" applyBorder="1"/>
    <xf numFmtId="0" fontId="28" fillId="6" borderId="10" xfId="0" applyFont="1" applyFill="1" applyBorder="1" applyAlignment="1">
      <alignment vertical="center"/>
    </xf>
    <xf numFmtId="0" fontId="28" fillId="6" borderId="13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1" fillId="3" borderId="16" xfId="0" applyFont="1" applyFill="1" applyBorder="1"/>
    <xf numFmtId="0" fontId="17" fillId="3" borderId="2" xfId="0" applyFont="1" applyFill="1" applyBorder="1" applyAlignment="1">
      <alignment vertical="center"/>
    </xf>
    <xf numFmtId="164" fontId="17" fillId="3" borderId="12" xfId="0" applyNumberFormat="1" applyFont="1" applyFill="1" applyBorder="1" applyAlignment="1">
      <alignment vertical="center"/>
    </xf>
    <xf numFmtId="10" fontId="14" fillId="3" borderId="12" xfId="0" applyNumberFormat="1" applyFont="1" applyFill="1" applyBorder="1" applyAlignment="1">
      <alignment vertical="center"/>
    </xf>
    <xf numFmtId="10" fontId="14" fillId="3" borderId="14" xfId="0" applyNumberFormat="1" applyFont="1" applyFill="1" applyBorder="1" applyAlignment="1">
      <alignment vertical="center"/>
    </xf>
    <xf numFmtId="0" fontId="17" fillId="3" borderId="17" xfId="0" applyFont="1" applyFill="1" applyBorder="1" applyAlignment="1">
      <alignment vertical="center"/>
    </xf>
    <xf numFmtId="164" fontId="17" fillId="3" borderId="1" xfId="0" applyNumberFormat="1" applyFont="1" applyFill="1" applyBorder="1" applyAlignment="1">
      <alignment vertical="center"/>
    </xf>
    <xf numFmtId="10" fontId="14" fillId="3" borderId="1" xfId="0" applyNumberFormat="1" applyFont="1" applyFill="1" applyBorder="1" applyAlignment="1">
      <alignment vertical="center"/>
    </xf>
    <xf numFmtId="10" fontId="14" fillId="3" borderId="19" xfId="0" applyNumberFormat="1" applyFont="1" applyFill="1" applyBorder="1" applyAlignment="1">
      <alignment vertical="center"/>
    </xf>
    <xf numFmtId="0" fontId="17" fillId="3" borderId="17" xfId="0" quotePrefix="1" applyFont="1" applyFill="1" applyBorder="1" applyAlignment="1">
      <alignment vertical="center"/>
    </xf>
    <xf numFmtId="164" fontId="17" fillId="7" borderId="1" xfId="0" applyNumberFormat="1" applyFont="1" applyFill="1" applyBorder="1" applyAlignment="1">
      <alignment vertical="center"/>
    </xf>
    <xf numFmtId="0" fontId="17" fillId="3" borderId="26" xfId="0" quotePrefix="1" applyFont="1" applyFill="1" applyBorder="1" applyAlignment="1">
      <alignment vertical="center"/>
    </xf>
    <xf numFmtId="164" fontId="17" fillId="3" borderId="25" xfId="0" applyNumberFormat="1" applyFont="1" applyFill="1" applyBorder="1" applyAlignment="1">
      <alignment vertical="center"/>
    </xf>
    <xf numFmtId="10" fontId="14" fillId="3" borderId="25" xfId="0" applyNumberFormat="1" applyFont="1" applyFill="1" applyBorder="1" applyAlignment="1">
      <alignment vertical="center"/>
    </xf>
    <xf numFmtId="10" fontId="14" fillId="3" borderId="27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0" fontId="14" fillId="3" borderId="13" xfId="0" applyNumberFormat="1" applyFont="1" applyFill="1" applyBorder="1" applyAlignment="1">
      <alignment vertical="center"/>
    </xf>
    <xf numFmtId="0" fontId="17" fillId="3" borderId="26" xfId="0" applyFont="1" applyFill="1" applyBorder="1" applyAlignment="1">
      <alignment vertical="center"/>
    </xf>
    <xf numFmtId="0" fontId="17" fillId="3" borderId="26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/>
    </xf>
    <xf numFmtId="0" fontId="17" fillId="3" borderId="24" xfId="0" applyFont="1" applyFill="1" applyBorder="1"/>
    <xf numFmtId="0" fontId="26" fillId="3" borderId="25" xfId="0" applyFont="1" applyFill="1" applyBorder="1" applyAlignment="1">
      <alignment vertical="center"/>
    </xf>
    <xf numFmtId="0" fontId="21" fillId="3" borderId="44" xfId="0" applyFont="1" applyFill="1" applyBorder="1"/>
    <xf numFmtId="164" fontId="21" fillId="3" borderId="1" xfId="0" applyNumberFormat="1" applyFont="1" applyFill="1" applyBorder="1"/>
    <xf numFmtId="10" fontId="27" fillId="3" borderId="1" xfId="0" applyNumberFormat="1" applyFont="1" applyFill="1" applyBorder="1"/>
    <xf numFmtId="0" fontId="21" fillId="3" borderId="1" xfId="0" applyFont="1" applyFill="1" applyBorder="1" applyAlignment="1">
      <alignment vertical="center"/>
    </xf>
    <xf numFmtId="164" fontId="21" fillId="3" borderId="1" xfId="0" applyNumberFormat="1" applyFont="1" applyFill="1" applyBorder="1" applyAlignment="1">
      <alignment vertical="center"/>
    </xf>
    <xf numFmtId="10" fontId="27" fillId="3" borderId="1" xfId="0" applyNumberFormat="1" applyFont="1" applyFill="1" applyBorder="1" applyAlignment="1">
      <alignment vertical="center"/>
    </xf>
    <xf numFmtId="10" fontId="27" fillId="3" borderId="13" xfId="0" applyNumberFormat="1" applyFont="1" applyFill="1" applyBorder="1" applyAlignment="1">
      <alignment vertical="center"/>
    </xf>
    <xf numFmtId="10" fontId="27" fillId="3" borderId="12" xfId="0" applyNumberFormat="1" applyFont="1" applyFill="1" applyBorder="1" applyAlignment="1">
      <alignment vertical="center"/>
    </xf>
    <xf numFmtId="0" fontId="17" fillId="3" borderId="28" xfId="0" applyFont="1" applyFill="1" applyBorder="1"/>
    <xf numFmtId="0" fontId="21" fillId="3" borderId="29" xfId="0" applyFont="1" applyFill="1" applyBorder="1"/>
    <xf numFmtId="164" fontId="21" fillId="3" borderId="29" xfId="0" applyNumberFormat="1" applyFont="1" applyFill="1" applyBorder="1"/>
    <xf numFmtId="10" fontId="27" fillId="3" borderId="29" xfId="0" applyNumberFormat="1" applyFont="1" applyFill="1" applyBorder="1"/>
    <xf numFmtId="0" fontId="21" fillId="3" borderId="30" xfId="0" applyFont="1" applyFill="1" applyBorder="1"/>
    <xf numFmtId="0" fontId="3" fillId="3" borderId="1" xfId="0" applyFont="1" applyFill="1" applyBorder="1" applyAlignment="1">
      <alignment wrapText="1"/>
    </xf>
    <xf numFmtId="0" fontId="4" fillId="6" borderId="10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vertical="center" wrapText="1"/>
    </xf>
    <xf numFmtId="10" fontId="14" fillId="3" borderId="1" xfId="0" applyNumberFormat="1" applyFont="1" applyFill="1" applyBorder="1" applyAlignment="1">
      <alignment horizontal="right" vertical="center"/>
    </xf>
    <xf numFmtId="10" fontId="14" fillId="3" borderId="25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9" xfId="0" applyFont="1" applyFill="1" applyBorder="1"/>
    <xf numFmtId="0" fontId="3" fillId="3" borderId="9" xfId="0" applyFont="1" applyFill="1" applyBorder="1" applyAlignment="1"/>
    <xf numFmtId="0" fontId="9" fillId="3" borderId="8" xfId="0" quotePrefix="1" applyFont="1" applyFill="1" applyBorder="1" applyAlignment="1">
      <alignment horizontal="left"/>
    </xf>
    <xf numFmtId="9" fontId="3" fillId="3" borderId="9" xfId="0" applyNumberFormat="1" applyFont="1" applyFill="1" applyBorder="1"/>
    <xf numFmtId="0" fontId="3" fillId="3" borderId="53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vertical="center"/>
    </xf>
    <xf numFmtId="0" fontId="3" fillId="3" borderId="54" xfId="0" applyFont="1" applyFill="1" applyBorder="1"/>
    <xf numFmtId="0" fontId="3" fillId="3" borderId="49" xfId="0" applyFont="1" applyFill="1" applyBorder="1"/>
    <xf numFmtId="167" fontId="3" fillId="3" borderId="9" xfId="0" applyNumberFormat="1" applyFont="1" applyFill="1" applyBorder="1"/>
    <xf numFmtId="0" fontId="3" fillId="3" borderId="9" xfId="0" applyFont="1" applyFill="1" applyBorder="1" applyAlignment="1">
      <alignment horizontal="center"/>
    </xf>
    <xf numFmtId="0" fontId="3" fillId="0" borderId="9" xfId="0" applyFont="1" applyFill="1" applyBorder="1"/>
    <xf numFmtId="166" fontId="7" fillId="0" borderId="9" xfId="0" applyNumberFormat="1" applyFont="1" applyFill="1" applyBorder="1"/>
    <xf numFmtId="0" fontId="0" fillId="0" borderId="0" xfId="0" applyFont="1" applyFill="1" applyAlignment="1"/>
    <xf numFmtId="0" fontId="3" fillId="3" borderId="61" xfId="0" applyFont="1" applyFill="1" applyBorder="1"/>
    <xf numFmtId="0" fontId="3" fillId="3" borderId="63" xfId="0" applyFont="1" applyFill="1" applyBorder="1"/>
    <xf numFmtId="9" fontId="9" fillId="3" borderId="9" xfId="0" applyNumberFormat="1" applyFont="1" applyFill="1" applyBorder="1" applyAlignment="1">
      <alignment horizontal="right"/>
    </xf>
    <xf numFmtId="165" fontId="3" fillId="3" borderId="9" xfId="0" applyNumberFormat="1" applyFont="1" applyFill="1" applyBorder="1"/>
    <xf numFmtId="0" fontId="17" fillId="3" borderId="14" xfId="0" applyFont="1" applyFill="1" applyBorder="1" applyAlignment="1">
      <alignment horizontal="center" vertical="center" wrapText="1"/>
    </xf>
    <xf numFmtId="0" fontId="3" fillId="3" borderId="64" xfId="0" applyFont="1" applyFill="1" applyBorder="1"/>
    <xf numFmtId="0" fontId="10" fillId="3" borderId="65" xfId="0" applyFont="1" applyFill="1" applyBorder="1"/>
    <xf numFmtId="165" fontId="10" fillId="3" borderId="66" xfId="0" applyNumberFormat="1" applyFont="1" applyFill="1" applyBorder="1"/>
    <xf numFmtId="168" fontId="19" fillId="0" borderId="60" xfId="0" applyNumberFormat="1" applyFont="1" applyBorder="1"/>
    <xf numFmtId="168" fontId="19" fillId="0" borderId="64" xfId="0" applyNumberFormat="1" applyFont="1" applyBorder="1"/>
    <xf numFmtId="168" fontId="19" fillId="0" borderId="61" xfId="0" applyNumberFormat="1" applyFont="1" applyBorder="1"/>
    <xf numFmtId="0" fontId="7" fillId="3" borderId="64" xfId="0" applyFont="1" applyFill="1" applyBorder="1"/>
    <xf numFmtId="167" fontId="19" fillId="7" borderId="64" xfId="0" applyNumberFormat="1" applyFont="1" applyFill="1" applyBorder="1"/>
    <xf numFmtId="167" fontId="19" fillId="7" borderId="61" xfId="0" applyNumberFormat="1" applyFont="1" applyFill="1" applyBorder="1"/>
    <xf numFmtId="10" fontId="14" fillId="7" borderId="60" xfId="0" applyNumberFormat="1" applyFont="1" applyFill="1" applyBorder="1"/>
    <xf numFmtId="10" fontId="14" fillId="7" borderId="64" xfId="0" applyNumberFormat="1" applyFont="1" applyFill="1" applyBorder="1"/>
    <xf numFmtId="10" fontId="14" fillId="7" borderId="61" xfId="0" applyNumberFormat="1" applyFont="1" applyFill="1" applyBorder="1"/>
    <xf numFmtId="0" fontId="10" fillId="3" borderId="52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10" fillId="3" borderId="68" xfId="0" applyFont="1" applyFill="1" applyBorder="1" applyAlignment="1">
      <alignment horizontal="center"/>
    </xf>
    <xf numFmtId="9" fontId="9" fillId="7" borderId="57" xfId="0" applyNumberFormat="1" applyFont="1" applyFill="1" applyBorder="1"/>
    <xf numFmtId="0" fontId="21" fillId="3" borderId="14" xfId="0" applyFont="1" applyFill="1" applyBorder="1" applyAlignment="1">
      <alignment horizontal="center" vertical="center" wrapText="1"/>
    </xf>
    <xf numFmtId="164" fontId="3" fillId="7" borderId="60" xfId="0" applyNumberFormat="1" applyFont="1" applyFill="1" applyBorder="1"/>
    <xf numFmtId="164" fontId="3" fillId="7" borderId="61" xfId="0" applyNumberFormat="1" applyFont="1" applyFill="1" applyBorder="1"/>
    <xf numFmtId="9" fontId="14" fillId="3" borderId="60" xfId="0" applyNumberFormat="1" applyFont="1" applyFill="1" applyBorder="1"/>
    <xf numFmtId="9" fontId="14" fillId="3" borderId="61" xfId="0" applyNumberFormat="1" applyFont="1" applyFill="1" applyBorder="1"/>
    <xf numFmtId="164" fontId="15" fillId="3" borderId="9" xfId="0" applyNumberFormat="1" applyFont="1" applyFill="1" applyBorder="1"/>
    <xf numFmtId="164" fontId="3" fillId="7" borderId="46" xfId="0" applyNumberFormat="1" applyFont="1" applyFill="1" applyBorder="1"/>
    <xf numFmtId="164" fontId="3" fillId="7" borderId="49" xfId="0" applyNumberFormat="1" applyFont="1" applyFill="1" applyBorder="1"/>
    <xf numFmtId="9" fontId="16" fillId="3" borderId="9" xfId="0" applyNumberFormat="1" applyFont="1" applyFill="1" applyBorder="1"/>
    <xf numFmtId="164" fontId="10" fillId="3" borderId="58" xfId="0" applyNumberFormat="1" applyFont="1" applyFill="1" applyBorder="1"/>
    <xf numFmtId="9" fontId="16" fillId="3" borderId="58" xfId="0" applyNumberFormat="1" applyFont="1" applyFill="1" applyBorder="1"/>
    <xf numFmtId="3" fontId="3" fillId="3" borderId="2" xfId="0" applyNumberFormat="1" applyFont="1" applyFill="1" applyBorder="1" applyAlignment="1">
      <alignment vertical="center"/>
    </xf>
    <xf numFmtId="3" fontId="14" fillId="7" borderId="17" xfId="0" applyNumberFormat="1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3" fontId="14" fillId="7" borderId="2" xfId="0" applyNumberFormat="1" applyFont="1" applyFill="1" applyBorder="1" applyAlignment="1">
      <alignment vertical="center"/>
    </xf>
    <xf numFmtId="3" fontId="14" fillId="7" borderId="37" xfId="0" applyNumberFormat="1" applyFont="1" applyFill="1" applyBorder="1" applyAlignment="1">
      <alignment vertical="center"/>
    </xf>
    <xf numFmtId="3" fontId="16" fillId="3" borderId="37" xfId="0" applyNumberFormat="1" applyFont="1" applyFill="1" applyBorder="1" applyAlignment="1">
      <alignment vertical="center"/>
    </xf>
    <xf numFmtId="167" fontId="14" fillId="3" borderId="60" xfId="0" applyNumberFormat="1" applyFont="1" applyFill="1" applyBorder="1"/>
    <xf numFmtId="167" fontId="14" fillId="3" borderId="64" xfId="0" applyNumberFormat="1" applyFont="1" applyFill="1" applyBorder="1"/>
    <xf numFmtId="167" fontId="16" fillId="3" borderId="70" xfId="0" applyNumberFormat="1" applyFont="1" applyFill="1" applyBorder="1"/>
    <xf numFmtId="167" fontId="17" fillId="3" borderId="70" xfId="0" applyNumberFormat="1" applyFont="1" applyFill="1" applyBorder="1"/>
    <xf numFmtId="167" fontId="17" fillId="3" borderId="63" xfId="0" applyNumberFormat="1" applyFont="1" applyFill="1" applyBorder="1"/>
    <xf numFmtId="167" fontId="16" fillId="3" borderId="61" xfId="0" applyNumberFormat="1" applyFont="1" applyFill="1" applyBorder="1"/>
    <xf numFmtId="0" fontId="10" fillId="3" borderId="56" xfId="0" applyFont="1" applyFill="1" applyBorder="1" applyAlignment="1">
      <alignment vertical="center"/>
    </xf>
    <xf numFmtId="0" fontId="10" fillId="3" borderId="60" xfId="0" applyFont="1" applyFill="1" applyBorder="1" applyAlignment="1">
      <alignment vertical="center"/>
    </xf>
    <xf numFmtId="0" fontId="3" fillId="3" borderId="57" xfId="0" applyFont="1" applyFill="1" applyBorder="1"/>
    <xf numFmtId="0" fontId="10" fillId="3" borderId="62" xfId="0" applyFont="1" applyFill="1" applyBorder="1" applyAlignment="1">
      <alignment vertical="center"/>
    </xf>
    <xf numFmtId="165" fontId="3" fillId="0" borderId="18" xfId="0" applyNumberFormat="1" applyFont="1" applyFill="1" applyBorder="1"/>
    <xf numFmtId="0" fontId="3" fillId="3" borderId="62" xfId="0" applyFont="1" applyFill="1" applyBorder="1"/>
    <xf numFmtId="0" fontId="3" fillId="3" borderId="67" xfId="0" applyFont="1" applyFill="1" applyBorder="1"/>
    <xf numFmtId="0" fontId="7" fillId="3" borderId="40" xfId="0" applyFont="1" applyFill="1" applyBorder="1"/>
    <xf numFmtId="0" fontId="7" fillId="3" borderId="57" xfId="0" applyFont="1" applyFill="1" applyBorder="1"/>
    <xf numFmtId="165" fontId="10" fillId="3" borderId="57" xfId="0" applyNumberFormat="1" applyFont="1" applyFill="1" applyBorder="1"/>
    <xf numFmtId="0" fontId="10" fillId="3" borderId="9" xfId="0" applyFont="1" applyFill="1" applyBorder="1"/>
    <xf numFmtId="0" fontId="10" fillId="3" borderId="52" xfId="0" applyFont="1" applyFill="1" applyBorder="1"/>
    <xf numFmtId="0" fontId="3" fillId="3" borderId="68" xfId="0" applyFont="1" applyFill="1" applyBorder="1"/>
    <xf numFmtId="0" fontId="3" fillId="3" borderId="46" xfId="0" applyFont="1" applyFill="1" applyBorder="1"/>
    <xf numFmtId="165" fontId="3" fillId="3" borderId="48" xfId="0" applyNumberFormat="1" applyFont="1" applyFill="1" applyBorder="1"/>
    <xf numFmtId="0" fontId="14" fillId="3" borderId="54" xfId="0" quotePrefix="1" applyFont="1" applyFill="1" applyBorder="1"/>
    <xf numFmtId="165" fontId="14" fillId="3" borderId="55" xfId="0" applyNumberFormat="1" applyFont="1" applyFill="1" applyBorder="1"/>
    <xf numFmtId="165" fontId="14" fillId="3" borderId="51" xfId="0" applyNumberFormat="1" applyFont="1" applyFill="1" applyBorder="1"/>
    <xf numFmtId="0" fontId="10" fillId="3" borderId="54" xfId="0" applyFont="1" applyFill="1" applyBorder="1"/>
    <xf numFmtId="165" fontId="10" fillId="3" borderId="55" xfId="0" applyNumberFormat="1" applyFont="1" applyFill="1" applyBorder="1"/>
    <xf numFmtId="165" fontId="3" fillId="3" borderId="55" xfId="0" applyNumberFormat="1" applyFont="1" applyFill="1" applyBorder="1"/>
    <xf numFmtId="165" fontId="3" fillId="0" borderId="55" xfId="0" applyNumberFormat="1" applyFont="1" applyFill="1" applyBorder="1"/>
    <xf numFmtId="165" fontId="10" fillId="3" borderId="68" xfId="0" applyNumberFormat="1" applyFont="1" applyFill="1" applyBorder="1"/>
    <xf numFmtId="0" fontId="10" fillId="3" borderId="49" xfId="0" applyFont="1" applyFill="1" applyBorder="1"/>
    <xf numFmtId="165" fontId="10" fillId="3" borderId="51" xfId="0" applyNumberFormat="1" applyFont="1" applyFill="1" applyBorder="1"/>
    <xf numFmtId="165" fontId="3" fillId="3" borderId="68" xfId="0" applyNumberFormat="1" applyFont="1" applyFill="1" applyBorder="1"/>
    <xf numFmtId="0" fontId="10" fillId="3" borderId="71" xfId="0" applyFont="1" applyFill="1" applyBorder="1"/>
    <xf numFmtId="165" fontId="10" fillId="3" borderId="72" xfId="0" applyNumberFormat="1" applyFont="1" applyFill="1" applyBorder="1"/>
    <xf numFmtId="0" fontId="10" fillId="3" borderId="73" xfId="0" applyFont="1" applyFill="1" applyBorder="1"/>
    <xf numFmtId="165" fontId="10" fillId="3" borderId="74" xfId="0" applyNumberFormat="1" applyFont="1" applyFill="1" applyBorder="1"/>
    <xf numFmtId="0" fontId="10" fillId="3" borderId="75" xfId="0" applyFont="1" applyFill="1" applyBorder="1"/>
    <xf numFmtId="165" fontId="10" fillId="3" borderId="76" xfId="0" applyNumberFormat="1" applyFont="1" applyFill="1" applyBorder="1"/>
    <xf numFmtId="0" fontId="10" fillId="3" borderId="56" xfId="0" applyFont="1" applyFill="1" applyBorder="1"/>
    <xf numFmtId="165" fontId="10" fillId="3" borderId="59" xfId="0" applyNumberFormat="1" applyFont="1" applyFill="1" applyBorder="1"/>
    <xf numFmtId="165" fontId="3" fillId="3" borderId="74" xfId="0" applyNumberFormat="1" applyFont="1" applyFill="1" applyBorder="1"/>
    <xf numFmtId="0" fontId="3" fillId="3" borderId="47" xfId="0" applyFont="1" applyFill="1" applyBorder="1"/>
    <xf numFmtId="9" fontId="3" fillId="3" borderId="47" xfId="0" applyNumberFormat="1" applyFont="1" applyFill="1" applyBorder="1"/>
    <xf numFmtId="0" fontId="3" fillId="3" borderId="50" xfId="0" applyFont="1" applyFill="1" applyBorder="1"/>
    <xf numFmtId="9" fontId="3" fillId="3" borderId="50" xfId="0" applyNumberFormat="1" applyFont="1" applyFill="1" applyBorder="1"/>
    <xf numFmtId="165" fontId="3" fillId="3" borderId="60" xfId="0" applyNumberFormat="1" applyFont="1" applyFill="1" applyBorder="1"/>
    <xf numFmtId="165" fontId="3" fillId="3" borderId="64" xfId="0" applyNumberFormat="1" applyFont="1" applyFill="1" applyBorder="1"/>
    <xf numFmtId="165" fontId="3" fillId="3" borderId="46" xfId="0" applyNumberFormat="1" applyFont="1" applyFill="1" applyBorder="1"/>
    <xf numFmtId="165" fontId="3" fillId="3" borderId="47" xfId="0" applyNumberFormat="1" applyFont="1" applyFill="1" applyBorder="1"/>
    <xf numFmtId="165" fontId="3" fillId="3" borderId="54" xfId="0" applyNumberFormat="1" applyFont="1" applyFill="1" applyBorder="1"/>
    <xf numFmtId="165" fontId="10" fillId="3" borderId="52" xfId="0" applyNumberFormat="1" applyFont="1" applyFill="1" applyBorder="1"/>
    <xf numFmtId="0" fontId="14" fillId="3" borderId="17" xfId="0" quotePrefix="1" applyFont="1" applyFill="1" applyBorder="1"/>
    <xf numFmtId="165" fontId="10" fillId="3" borderId="77" xfId="0" applyNumberFormat="1" applyFont="1" applyFill="1" applyBorder="1"/>
    <xf numFmtId="165" fontId="10" fillId="3" borderId="67" xfId="0" applyNumberFormat="1" applyFont="1" applyFill="1" applyBorder="1"/>
    <xf numFmtId="167" fontId="11" fillId="3" borderId="59" xfId="0" applyNumberFormat="1" applyFont="1" applyFill="1" applyBorder="1"/>
    <xf numFmtId="167" fontId="11" fillId="3" borderId="51" xfId="0" applyNumberFormat="1" applyFont="1" applyFill="1" applyBorder="1"/>
    <xf numFmtId="172" fontId="3" fillId="3" borderId="57" xfId="0" applyNumberFormat="1" applyFont="1" applyFill="1" applyBorder="1"/>
    <xf numFmtId="172" fontId="3" fillId="3" borderId="57" xfId="0" applyNumberFormat="1" applyFont="1" applyFill="1" applyBorder="1" applyAlignment="1">
      <alignment horizontal="center"/>
    </xf>
    <xf numFmtId="2" fontId="17" fillId="3" borderId="46" xfId="0" applyNumberFormat="1" applyFont="1" applyFill="1" applyBorder="1"/>
    <xf numFmtId="2" fontId="17" fillId="0" borderId="48" xfId="0" applyNumberFormat="1" applyFont="1" applyBorder="1"/>
    <xf numFmtId="2" fontId="17" fillId="3" borderId="54" xfId="0" applyNumberFormat="1" applyFont="1" applyFill="1" applyBorder="1"/>
    <xf numFmtId="2" fontId="17" fillId="3" borderId="55" xfId="0" applyNumberFormat="1" applyFont="1" applyFill="1" applyBorder="1"/>
    <xf numFmtId="2" fontId="17" fillId="3" borderId="49" xfId="0" applyNumberFormat="1" applyFont="1" applyFill="1" applyBorder="1"/>
    <xf numFmtId="2" fontId="17" fillId="3" borderId="51" xfId="0" applyNumberFormat="1" applyFont="1" applyFill="1" applyBorder="1"/>
    <xf numFmtId="0" fontId="33" fillId="3" borderId="1" xfId="0" applyFont="1" applyFill="1" applyBorder="1"/>
    <xf numFmtId="0" fontId="34" fillId="3" borderId="1" xfId="0" applyFont="1" applyFill="1" applyBorder="1"/>
    <xf numFmtId="0" fontId="34" fillId="3" borderId="10" xfId="0" applyFont="1" applyFill="1" applyBorder="1"/>
    <xf numFmtId="0" fontId="33" fillId="3" borderId="9" xfId="0" applyFont="1" applyFill="1" applyBorder="1"/>
    <xf numFmtId="0" fontId="34" fillId="3" borderId="60" xfId="0" applyFont="1" applyFill="1" applyBorder="1"/>
    <xf numFmtId="0" fontId="34" fillId="3" borderId="64" xfId="0" applyFont="1" applyFill="1" applyBorder="1"/>
    <xf numFmtId="0" fontId="36" fillId="3" borderId="1" xfId="0" applyFont="1" applyFill="1" applyBorder="1"/>
    <xf numFmtId="0" fontId="36" fillId="3" borderId="18" xfId="0" applyFont="1" applyFill="1" applyBorder="1"/>
    <xf numFmtId="0" fontId="34" fillId="3" borderId="54" xfId="0" applyFont="1" applyFill="1" applyBorder="1"/>
    <xf numFmtId="0" fontId="34" fillId="3" borderId="73" xfId="0" applyFont="1" applyFill="1" applyBorder="1"/>
    <xf numFmtId="0" fontId="34" fillId="3" borderId="9" xfId="0" applyFont="1" applyFill="1" applyBorder="1"/>
    <xf numFmtId="0" fontId="7" fillId="0" borderId="17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35" fillId="6" borderId="2" xfId="0" applyFont="1" applyFill="1" applyBorder="1"/>
    <xf numFmtId="0" fontId="34" fillId="3" borderId="2" xfId="0" applyFont="1" applyFill="1" applyBorder="1" applyAlignment="1">
      <alignment horizontal="center"/>
    </xf>
    <xf numFmtId="0" fontId="42" fillId="3" borderId="1" xfId="0" applyFont="1" applyFill="1" applyBorder="1" applyAlignment="1">
      <alignment horizontal="left" vertical="top" wrapText="1"/>
    </xf>
    <xf numFmtId="0" fontId="38" fillId="3" borderId="10" xfId="0" applyFont="1" applyFill="1" applyBorder="1" applyAlignment="1">
      <alignment vertical="center"/>
    </xf>
    <xf numFmtId="0" fontId="42" fillId="9" borderId="1" xfId="0" applyFont="1" applyFill="1" applyBorder="1" applyAlignment="1">
      <alignment horizontal="left" vertical="top" wrapText="1"/>
    </xf>
    <xf numFmtId="44" fontId="3" fillId="3" borderId="1" xfId="1" applyFont="1" applyFill="1" applyBorder="1"/>
    <xf numFmtId="44" fontId="3" fillId="3" borderId="9" xfId="1" applyFont="1" applyFill="1" applyBorder="1"/>
    <xf numFmtId="44" fontId="38" fillId="3" borderId="9" xfId="1" applyFont="1" applyFill="1" applyBorder="1"/>
    <xf numFmtId="44" fontId="38" fillId="3" borderId="1" xfId="1" applyFont="1" applyFill="1" applyBorder="1"/>
    <xf numFmtId="0" fontId="38" fillId="9" borderId="1" xfId="0" applyFont="1" applyFill="1" applyBorder="1" applyAlignment="1">
      <alignment wrapText="1"/>
    </xf>
    <xf numFmtId="0" fontId="4" fillId="5" borderId="40" xfId="0" applyFont="1" applyFill="1" applyBorder="1" applyAlignment="1"/>
    <xf numFmtId="0" fontId="7" fillId="3" borderId="57" xfId="0" applyFont="1" applyFill="1" applyBorder="1" applyAlignment="1">
      <alignment horizontal="center"/>
    </xf>
    <xf numFmtId="0" fontId="4" fillId="5" borderId="40" xfId="0" applyFont="1" applyFill="1" applyBorder="1"/>
    <xf numFmtId="0" fontId="35" fillId="5" borderId="2" xfId="0" applyFont="1" applyFill="1" applyBorder="1"/>
    <xf numFmtId="44" fontId="12" fillId="3" borderId="57" xfId="1" applyFont="1" applyFill="1" applyBorder="1"/>
    <xf numFmtId="44" fontId="12" fillId="3" borderId="67" xfId="1" applyFont="1" applyFill="1" applyBorder="1"/>
    <xf numFmtId="0" fontId="42" fillId="0" borderId="17" xfId="0" applyFont="1" applyFill="1" applyBorder="1"/>
    <xf numFmtId="0" fontId="36" fillId="3" borderId="9" xfId="0" applyFont="1" applyFill="1" applyBorder="1"/>
    <xf numFmtId="164" fontId="44" fillId="7" borderId="46" xfId="0" applyNumberFormat="1" applyFont="1" applyFill="1" applyBorder="1"/>
    <xf numFmtId="164" fontId="44" fillId="7" borderId="54" xfId="0" applyNumberFormat="1" applyFont="1" applyFill="1" applyBorder="1"/>
    <xf numFmtId="164" fontId="44" fillId="7" borderId="49" xfId="0" applyNumberFormat="1" applyFont="1" applyFill="1" applyBorder="1"/>
    <xf numFmtId="174" fontId="36" fillId="7" borderId="57" xfId="0" applyNumberFormat="1" applyFont="1" applyFill="1" applyBorder="1"/>
    <xf numFmtId="0" fontId="45" fillId="3" borderId="14" xfId="0" applyFont="1" applyFill="1" applyBorder="1" applyAlignment="1">
      <alignment horizontal="center" vertical="center" wrapText="1"/>
    </xf>
    <xf numFmtId="0" fontId="45" fillId="3" borderId="69" xfId="0" applyFont="1" applyFill="1" applyBorder="1" applyAlignment="1">
      <alignment horizontal="center" vertical="center" wrapText="1"/>
    </xf>
    <xf numFmtId="10" fontId="42" fillId="8" borderId="1" xfId="0" applyNumberFormat="1" applyFont="1" applyFill="1" applyBorder="1" applyAlignment="1">
      <alignment horizontal="right" vertical="top" wrapText="1"/>
    </xf>
    <xf numFmtId="9" fontId="9" fillId="0" borderId="12" xfId="0" applyNumberFormat="1" applyFont="1" applyFill="1" applyBorder="1" applyAlignment="1">
      <alignment horizontal="right"/>
    </xf>
    <xf numFmtId="0" fontId="36" fillId="3" borderId="57" xfId="0" applyFont="1" applyFill="1" applyBorder="1"/>
    <xf numFmtId="0" fontId="34" fillId="0" borderId="60" xfId="0" applyFont="1" applyFill="1" applyBorder="1"/>
    <xf numFmtId="0" fontId="34" fillId="0" borderId="64" xfId="0" applyFont="1" applyFill="1" applyBorder="1"/>
    <xf numFmtId="0" fontId="34" fillId="0" borderId="61" xfId="0" applyFont="1" applyFill="1" applyBorder="1"/>
    <xf numFmtId="0" fontId="47" fillId="0" borderId="1" xfId="0" applyFont="1" applyFill="1" applyBorder="1"/>
    <xf numFmtId="0" fontId="36" fillId="0" borderId="1" xfId="0" applyFont="1" applyFill="1" applyBorder="1"/>
    <xf numFmtId="0" fontId="48" fillId="3" borderId="1" xfId="0" applyFont="1" applyFill="1" applyBorder="1" applyAlignment="1">
      <alignment horizontal="left" vertical="center"/>
    </xf>
    <xf numFmtId="0" fontId="4" fillId="5" borderId="57" xfId="0" applyFont="1" applyFill="1" applyBorder="1"/>
    <xf numFmtId="165" fontId="3" fillId="0" borderId="77" xfId="0" applyNumberFormat="1" applyFont="1" applyFill="1" applyBorder="1"/>
    <xf numFmtId="9" fontId="36" fillId="3" borderId="1" xfId="0" applyNumberFormat="1" applyFont="1" applyFill="1" applyBorder="1"/>
    <xf numFmtId="165" fontId="3" fillId="3" borderId="78" xfId="0" applyNumberFormat="1" applyFont="1" applyFill="1" applyBorder="1"/>
    <xf numFmtId="0" fontId="36" fillId="3" borderId="60" xfId="0" applyFont="1" applyFill="1" applyBorder="1"/>
    <xf numFmtId="0" fontId="36" fillId="3" borderId="64" xfId="0" applyFont="1" applyFill="1" applyBorder="1"/>
    <xf numFmtId="9" fontId="3" fillId="13" borderId="66" xfId="0" applyNumberFormat="1" applyFont="1" applyFill="1" applyBorder="1"/>
    <xf numFmtId="9" fontId="36" fillId="14" borderId="66" xfId="0" applyNumberFormat="1" applyFont="1" applyFill="1" applyBorder="1"/>
    <xf numFmtId="9" fontId="3" fillId="13" borderId="1" xfId="0" applyNumberFormat="1" applyFont="1" applyFill="1" applyBorder="1"/>
    <xf numFmtId="9" fontId="36" fillId="15" borderId="1" xfId="0" applyNumberFormat="1" applyFont="1" applyFill="1" applyBorder="1"/>
    <xf numFmtId="9" fontId="3" fillId="13" borderId="9" xfId="0" applyNumberFormat="1" applyFont="1" applyFill="1" applyBorder="1"/>
    <xf numFmtId="9" fontId="36" fillId="15" borderId="9" xfId="0" applyNumberFormat="1" applyFont="1" applyFill="1" applyBorder="1"/>
    <xf numFmtId="9" fontId="3" fillId="14" borderId="66" xfId="0" applyNumberFormat="1" applyFont="1" applyFill="1" applyBorder="1"/>
    <xf numFmtId="9" fontId="3" fillId="15" borderId="1" xfId="0" applyNumberFormat="1" applyFont="1" applyFill="1" applyBorder="1"/>
    <xf numFmtId="9" fontId="9" fillId="13" borderId="31" xfId="0" applyNumberFormat="1" applyFont="1" applyFill="1" applyBorder="1"/>
    <xf numFmtId="9" fontId="3" fillId="13" borderId="31" xfId="0" applyNumberFormat="1" applyFont="1" applyFill="1" applyBorder="1"/>
    <xf numFmtId="9" fontId="3" fillId="14" borderId="1" xfId="0" applyNumberFormat="1" applyFont="1" applyFill="1" applyBorder="1"/>
    <xf numFmtId="9" fontId="3" fillId="15" borderId="25" xfId="0" applyNumberFormat="1" applyFont="1" applyFill="1" applyBorder="1"/>
    <xf numFmtId="9" fontId="9" fillId="14" borderId="1" xfId="0" applyNumberFormat="1" applyFont="1" applyFill="1" applyBorder="1"/>
    <xf numFmtId="0" fontId="3" fillId="15" borderId="1" xfId="0" applyFont="1" applyFill="1" applyBorder="1"/>
    <xf numFmtId="0" fontId="3" fillId="14" borderId="1" xfId="0" applyFont="1" applyFill="1" applyBorder="1"/>
    <xf numFmtId="165" fontId="3" fillId="15" borderId="1" xfId="0" applyNumberFormat="1" applyFont="1" applyFill="1" applyBorder="1"/>
    <xf numFmtId="44" fontId="38" fillId="9" borderId="1" xfId="1" applyFont="1" applyFill="1" applyBorder="1" applyProtection="1">
      <protection locked="0"/>
    </xf>
    <xf numFmtId="164" fontId="42" fillId="11" borderId="60" xfId="0" applyNumberFormat="1" applyFont="1" applyFill="1" applyBorder="1" applyProtection="1">
      <protection locked="0"/>
    </xf>
    <xf numFmtId="44" fontId="42" fillId="11" borderId="61" xfId="1" applyFont="1" applyFill="1" applyBorder="1" applyAlignment="1" applyProtection="1">
      <protection locked="0"/>
    </xf>
    <xf numFmtId="173" fontId="42" fillId="11" borderId="64" xfId="0" applyNumberFormat="1" applyFont="1" applyFill="1" applyBorder="1" applyProtection="1">
      <protection locked="0"/>
    </xf>
    <xf numFmtId="44" fontId="42" fillId="11" borderId="63" xfId="1" applyFont="1" applyFill="1" applyBorder="1" applyProtection="1">
      <protection locked="0"/>
    </xf>
    <xf numFmtId="164" fontId="42" fillId="11" borderId="64" xfId="0" applyNumberFormat="1" applyFont="1" applyFill="1" applyBorder="1" applyProtection="1">
      <protection locked="0"/>
    </xf>
    <xf numFmtId="44" fontId="42" fillId="11" borderId="17" xfId="1" applyFont="1" applyFill="1" applyBorder="1" applyProtection="1">
      <protection locked="0"/>
    </xf>
    <xf numFmtId="44" fontId="42" fillId="11" borderId="17" xfId="1" applyFont="1" applyFill="1" applyBorder="1" applyAlignment="1" applyProtection="1">
      <protection locked="0"/>
    </xf>
    <xf numFmtId="9" fontId="43" fillId="11" borderId="26" xfId="0" applyNumberFormat="1" applyFont="1" applyFill="1" applyBorder="1" applyProtection="1">
      <protection locked="0"/>
    </xf>
    <xf numFmtId="9" fontId="43" fillId="11" borderId="60" xfId="0" applyNumberFormat="1" applyFont="1" applyFill="1" applyBorder="1" applyProtection="1">
      <protection locked="0"/>
    </xf>
    <xf numFmtId="9" fontId="43" fillId="11" borderId="64" xfId="0" applyNumberFormat="1" applyFont="1" applyFill="1" applyBorder="1" applyProtection="1">
      <protection locked="0"/>
    </xf>
    <xf numFmtId="9" fontId="43" fillId="11" borderId="61" xfId="0" applyNumberFormat="1" applyFont="1" applyFill="1" applyBorder="1" applyProtection="1">
      <protection locked="0"/>
    </xf>
    <xf numFmtId="9" fontId="42" fillId="12" borderId="1" xfId="0" applyNumberFormat="1" applyFont="1" applyFill="1" applyBorder="1" applyProtection="1">
      <protection locked="0"/>
    </xf>
    <xf numFmtId="9" fontId="3" fillId="15" borderId="79" xfId="0" applyNumberFormat="1" applyFont="1" applyFill="1" applyBorder="1"/>
    <xf numFmtId="0" fontId="0" fillId="13" borderId="0" xfId="0" applyFont="1" applyFill="1" applyAlignment="1"/>
    <xf numFmtId="0" fontId="4" fillId="15" borderId="1" xfId="0" applyFont="1" applyFill="1" applyBorder="1"/>
    <xf numFmtId="0" fontId="36" fillId="13" borderId="9" xfId="0" applyFont="1" applyFill="1" applyBorder="1"/>
    <xf numFmtId="0" fontId="49" fillId="13" borderId="32" xfId="0" applyFont="1" applyFill="1" applyBorder="1"/>
    <xf numFmtId="4" fontId="42" fillId="10" borderId="80" xfId="0" applyNumberFormat="1" applyFont="1" applyFill="1" applyBorder="1" applyAlignment="1" applyProtection="1">
      <alignment horizontal="right" vertical="top" wrapText="1"/>
      <protection locked="0"/>
    </xf>
    <xf numFmtId="0" fontId="34" fillId="3" borderId="1" xfId="0" applyFont="1" applyFill="1" applyBorder="1" applyAlignment="1">
      <alignment wrapText="1"/>
    </xf>
    <xf numFmtId="0" fontId="36" fillId="3" borderId="57" xfId="0" applyFont="1" applyFill="1" applyBorder="1" applyAlignment="1">
      <alignment wrapText="1"/>
    </xf>
    <xf numFmtId="0" fontId="38" fillId="9" borderId="1" xfId="0" applyFont="1" applyFill="1" applyBorder="1" applyAlignment="1">
      <alignment horizontal="center" vertical="center" wrapText="1"/>
    </xf>
    <xf numFmtId="9" fontId="38" fillId="9" borderId="1" xfId="2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4" fillId="3" borderId="1" xfId="0" applyNumberFormat="1" applyFont="1" applyFill="1" applyBorder="1" applyAlignment="1">
      <alignment horizontal="left" wrapText="1"/>
    </xf>
    <xf numFmtId="0" fontId="18" fillId="9" borderId="57" xfId="0" applyFont="1" applyFill="1" applyBorder="1" applyAlignment="1">
      <alignment horizontal="center" vertical="center" wrapText="1"/>
    </xf>
    <xf numFmtId="0" fontId="36" fillId="3" borderId="46" xfId="0" applyFont="1" applyFill="1" applyBorder="1"/>
    <xf numFmtId="0" fontId="34" fillId="3" borderId="61" xfId="0" applyFont="1" applyFill="1" applyBorder="1"/>
    <xf numFmtId="9" fontId="34" fillId="14" borderId="1" xfId="0" applyNumberFormat="1" applyFont="1" applyFill="1" applyBorder="1"/>
    <xf numFmtId="0" fontId="34" fillId="3" borderId="57" xfId="0" applyFont="1" applyFill="1" applyBorder="1" applyAlignment="1">
      <alignment horizontal="left" vertical="center" wrapText="1"/>
    </xf>
    <xf numFmtId="164" fontId="9" fillId="0" borderId="9" xfId="0" applyNumberFormat="1" applyFont="1" applyBorder="1"/>
    <xf numFmtId="10" fontId="46" fillId="0" borderId="9" xfId="0" applyNumberFormat="1" applyFont="1" applyBorder="1" applyAlignment="1">
      <alignment horizontal="right"/>
    </xf>
    <xf numFmtId="164" fontId="3" fillId="0" borderId="9" xfId="0" applyNumberFormat="1" applyFont="1" applyBorder="1"/>
    <xf numFmtId="164" fontId="3" fillId="0" borderId="32" xfId="0" applyNumberFormat="1" applyFont="1" applyBorder="1"/>
    <xf numFmtId="9" fontId="46" fillId="0" borderId="32" xfId="0" applyNumberFormat="1" applyFont="1" applyBorder="1" applyAlignment="1">
      <alignment horizontal="right"/>
    </xf>
    <xf numFmtId="1" fontId="9" fillId="0" borderId="9" xfId="0" applyNumberFormat="1" applyFont="1" applyBorder="1"/>
    <xf numFmtId="0" fontId="3" fillId="0" borderId="32" xfId="0" applyFont="1" applyBorder="1"/>
    <xf numFmtId="0" fontId="41" fillId="4" borderId="5" xfId="0" applyFont="1" applyFill="1" applyBorder="1" applyAlignment="1">
      <alignment horizontal="left" vertical="top" wrapText="1"/>
    </xf>
    <xf numFmtId="0" fontId="6" fillId="0" borderId="7" xfId="0" applyFont="1" applyBorder="1"/>
    <xf numFmtId="0" fontId="6" fillId="0" borderId="9" xfId="0" applyFont="1" applyBorder="1"/>
    <xf numFmtId="164" fontId="37" fillId="3" borderId="57" xfId="0" applyNumberFormat="1" applyFont="1" applyFill="1" applyBorder="1" applyAlignment="1">
      <alignment horizontal="center" vertical="top" wrapText="1"/>
    </xf>
    <xf numFmtId="0" fontId="35" fillId="6" borderId="17" xfId="0" applyFont="1" applyFill="1" applyBorder="1" applyAlignment="1">
      <alignment horizontal="right"/>
    </xf>
    <xf numFmtId="0" fontId="35" fillId="6" borderId="9" xfId="0" applyFont="1" applyFill="1" applyBorder="1" applyAlignment="1">
      <alignment horizontal="right"/>
    </xf>
    <xf numFmtId="0" fontId="35" fillId="6" borderId="37" xfId="0" applyFont="1" applyFill="1" applyBorder="1" applyAlignment="1">
      <alignment horizontal="right"/>
    </xf>
    <xf numFmtId="0" fontId="35" fillId="6" borderId="3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4" fontId="36" fillId="9" borderId="57" xfId="1" applyFont="1" applyFill="1" applyBorder="1" applyAlignment="1" applyProtection="1">
      <alignment horizontal="center" vertical="center" wrapText="1"/>
      <protection locked="0"/>
    </xf>
    <xf numFmtId="0" fontId="36" fillId="3" borderId="52" xfId="0" applyFont="1" applyFill="1" applyBorder="1" applyAlignment="1">
      <alignment horizontal="left" vertical="center"/>
    </xf>
    <xf numFmtId="0" fontId="36" fillId="3" borderId="66" xfId="0" applyFont="1" applyFill="1" applyBorder="1" applyAlignment="1">
      <alignment horizontal="left" vertical="center"/>
    </xf>
    <xf numFmtId="0" fontId="36" fillId="3" borderId="68" xfId="0" applyFont="1" applyFill="1" applyBorder="1" applyAlignment="1">
      <alignment horizontal="left" vertical="center"/>
    </xf>
    <xf numFmtId="0" fontId="36" fillId="3" borderId="52" xfId="0" applyFont="1" applyFill="1" applyBorder="1" applyAlignment="1">
      <alignment horizontal="left" wrapText="1"/>
    </xf>
    <xf numFmtId="0" fontId="36" fillId="3" borderId="66" xfId="0" applyFont="1" applyFill="1" applyBorder="1" applyAlignment="1">
      <alignment horizontal="left" wrapText="1"/>
    </xf>
    <xf numFmtId="0" fontId="36" fillId="3" borderId="68" xfId="0" applyFont="1" applyFill="1" applyBorder="1" applyAlignment="1">
      <alignment horizontal="left" wrapText="1"/>
    </xf>
    <xf numFmtId="0" fontId="36" fillId="3" borderId="52" xfId="0" applyFont="1" applyFill="1" applyBorder="1" applyAlignment="1">
      <alignment horizontal="left"/>
    </xf>
    <xf numFmtId="0" fontId="36" fillId="3" borderId="66" xfId="0" applyFont="1" applyFill="1" applyBorder="1" applyAlignment="1">
      <alignment horizontal="left"/>
    </xf>
    <xf numFmtId="0" fontId="36" fillId="3" borderId="68" xfId="0" applyFont="1" applyFill="1" applyBorder="1" applyAlignment="1">
      <alignment horizontal="left"/>
    </xf>
    <xf numFmtId="0" fontId="47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1" fillId="4" borderId="9" xfId="0" applyFont="1" applyFill="1" applyBorder="1" applyAlignment="1">
      <alignment horizontal="left" vertical="top" wrapText="1"/>
    </xf>
    <xf numFmtId="0" fontId="36" fillId="13" borderId="1" xfId="0" applyFont="1" applyFill="1" applyBorder="1" applyAlignment="1">
      <alignment horizontal="left"/>
    </xf>
    <xf numFmtId="0" fontId="47" fillId="13" borderId="1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 vertical="center" wrapText="1"/>
    </xf>
    <xf numFmtId="0" fontId="6" fillId="0" borderId="42" xfId="0" applyFont="1" applyBorder="1"/>
    <xf numFmtId="0" fontId="6" fillId="0" borderId="43" xfId="0" applyFont="1" applyBorder="1"/>
    <xf numFmtId="0" fontId="4" fillId="6" borderId="40" xfId="0" applyFont="1" applyFill="1" applyBorder="1" applyAlignment="1">
      <alignment horizontal="center" vertical="center"/>
    </xf>
    <xf numFmtId="0" fontId="6" fillId="0" borderId="41" xfId="0" applyFont="1" applyBorder="1"/>
    <xf numFmtId="164" fontId="17" fillId="3" borderId="45" xfId="0" applyNumberFormat="1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left"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xMode val="edge"/>
          <c:yMode val="edge"/>
          <c:x val="0.14523805698650299"/>
          <c:y val="8.399371566157518E-2"/>
          <c:w val="0.76320159362874618"/>
          <c:h val="0.658711266062116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'Pres_ottica Ca'' Foscari'!$C$2</c:f>
              <c:strCache>
                <c:ptCount val="1"/>
                <c:pt idx="0">
                  <c:v>HP 1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'Pres_ottica Ca'' Foscari'!$B$3:$B$5</c:f>
              <c:strCache>
                <c:ptCount val="3"/>
                <c:pt idx="0">
                  <c:v>7 mln cash</c:v>
                </c:pt>
                <c:pt idx="1">
                  <c:v>7+9 mln cash</c:v>
                </c:pt>
                <c:pt idx="2">
                  <c:v>50% - 50%</c:v>
                </c:pt>
              </c:strCache>
            </c:strRef>
          </c:cat>
          <c:val>
            <c:numRef>
              <c:f>'Pres_ottica Ca'' Foscari'!$C$3:$C$5</c:f>
              <c:numCache>
                <c:formatCode>_-* #,##0_-;\-* #,##0_-;_-* "-"??_-;_-@</c:formatCode>
                <c:ptCount val="3"/>
                <c:pt idx="0">
                  <c:v>32104740.479426514</c:v>
                </c:pt>
                <c:pt idx="1">
                  <c:v>33169048.52890151</c:v>
                </c:pt>
                <c:pt idx="2">
                  <c:v>33374324.164917424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90-465E-8BF0-F448AD67D1E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'Pres_ottica Ca'' Foscari'!$E$2</c:f>
              <c:strCache>
                <c:ptCount val="1"/>
                <c:pt idx="0">
                  <c:v>HP 2</c:v>
                </c:pt>
              </c:strCache>
            </c:strRef>
          </c:tx>
          <c:spPr>
            <a:solidFill>
              <a:srgbClr val="9999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'Pres_ottica Ca'' Foscari'!$B$3:$B$5</c:f>
              <c:strCache>
                <c:ptCount val="3"/>
                <c:pt idx="0">
                  <c:v>7 mln cash</c:v>
                </c:pt>
                <c:pt idx="1">
                  <c:v>7+9 mln cash</c:v>
                </c:pt>
                <c:pt idx="2">
                  <c:v>50% - 50%</c:v>
                </c:pt>
              </c:strCache>
            </c:strRef>
          </c:cat>
          <c:val>
            <c:numRef>
              <c:f>'Pres_ottica Ca'' Foscari'!$E$3:$E$5</c:f>
              <c:numCache>
                <c:formatCode>_-* #,##0_-;\-* #,##0_-;_-* "-"??_-;_-@</c:formatCode>
                <c:ptCount val="3"/>
                <c:pt idx="0">
                  <c:v>31515334.853710733</c:v>
                </c:pt>
                <c:pt idx="1">
                  <c:v>32765955.981523264</c:v>
                </c:pt>
                <c:pt idx="2">
                  <c:v>33007166.266039383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90-465E-8BF0-F448AD67D1E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38560"/>
        <c:axId val="87940096"/>
      </c:barChart>
      <c:catAx>
        <c:axId val="879385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it-IT"/>
          </a:p>
        </c:txPr>
        <c:crossAx val="87940096"/>
        <c:crosses val="autoZero"/>
        <c:auto val="1"/>
        <c:lblAlgn val="ctr"/>
        <c:lblOffset val="100"/>
        <c:noMultiLvlLbl val="1"/>
      </c:catAx>
      <c:valAx>
        <c:axId val="87940096"/>
        <c:scaling>
          <c:orientation val="minMax"/>
          <c:min val="31000000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_-* #,##0_-;\-* #,##0_-;_-* &quot;-&quot;??_-;_-@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  <a:endParaRPr lang="it-IT"/>
          </a:p>
        </c:txPr>
        <c:crossAx val="8793856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xMode val="edge"/>
          <c:yMode val="edge"/>
          <c:x val="0.14523805698650299"/>
          <c:y val="8.399371566157518E-2"/>
          <c:w val="0.76320159362874618"/>
          <c:h val="0.658711266062116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'Pres_ottica Ca'' Foscari'!$I$2</c:f>
              <c:strCache>
                <c:ptCount val="1"/>
                <c:pt idx="0">
                  <c:v>HP 1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'Pres_ottica Ca'' Foscari'!$H$3:$H$5</c:f>
              <c:strCache>
                <c:ptCount val="3"/>
                <c:pt idx="0">
                  <c:v>7 mln cash</c:v>
                </c:pt>
                <c:pt idx="1">
                  <c:v>7+9 mln cash</c:v>
                </c:pt>
                <c:pt idx="2">
                  <c:v>50% - 50%</c:v>
                </c:pt>
              </c:strCache>
            </c:strRef>
          </c:cat>
          <c:val>
            <c:numRef>
              <c:f>'Pres_ottica Ca'' Foscari'!$I$3:$I$5</c:f>
              <c:numCache>
                <c:formatCode>_-* #,##0_-;\-* #,##0_-;_-* "-"??_-;_-@</c:formatCode>
                <c:ptCount val="3"/>
                <c:pt idx="0">
                  <c:v>31727877.746064115</c:v>
                </c:pt>
                <c:pt idx="1">
                  <c:v>32911313.358799431</c:v>
                </c:pt>
                <c:pt idx="2">
                  <c:v>33139565.412523881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18-479A-9D53-EC2571A3243F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'Pres_ottica Ca'' Foscari'!$K$2</c:f>
              <c:strCache>
                <c:ptCount val="1"/>
                <c:pt idx="0">
                  <c:v>HP 2</c:v>
                </c:pt>
              </c:strCache>
            </c:strRef>
          </c:tx>
          <c:spPr>
            <a:solidFill>
              <a:srgbClr val="9999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'Pres_ottica Ca'' Foscari'!$H$3:$H$5</c:f>
              <c:strCache>
                <c:ptCount val="3"/>
                <c:pt idx="0">
                  <c:v>7 mln cash</c:v>
                </c:pt>
                <c:pt idx="1">
                  <c:v>7+9 mln cash</c:v>
                </c:pt>
                <c:pt idx="2">
                  <c:v>50% - 50%</c:v>
                </c:pt>
              </c:strCache>
            </c:strRef>
          </c:cat>
          <c:val>
            <c:numRef>
              <c:f>'Pres_ottica Ca'' Foscari'!$K$3:$K$5</c:f>
              <c:numCache>
                <c:formatCode>_-* #,##0_-;\-* #,##0_-;_-* "-"??_-;_-@</c:formatCode>
                <c:ptCount val="3"/>
                <c:pt idx="0">
                  <c:v>31132507.604238465</c:v>
                </c:pt>
                <c:pt idx="1">
                  <c:v>32504141.698688447</c:v>
                </c:pt>
                <c:pt idx="2">
                  <c:v>32768692.043166466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18-479A-9D53-EC2571A3243F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07776"/>
        <c:axId val="90909312"/>
      </c:barChart>
      <c:catAx>
        <c:axId val="9090777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it-IT"/>
          </a:p>
        </c:txPr>
        <c:crossAx val="90909312"/>
        <c:crosses val="autoZero"/>
        <c:auto val="1"/>
        <c:lblAlgn val="ctr"/>
        <c:lblOffset val="100"/>
        <c:noMultiLvlLbl val="1"/>
      </c:catAx>
      <c:valAx>
        <c:axId val="90909312"/>
        <c:scaling>
          <c:orientation val="minMax"/>
          <c:min val="31000000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_-* #,##0_-;\-* #,##0_-;_-* &quot;-&quot;??_-;_-@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  <a:endParaRPr lang="it-IT"/>
          </a:p>
        </c:txPr>
        <c:crossAx val="9090777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3</xdr:row>
      <xdr:rowOff>144780</xdr:rowOff>
    </xdr:from>
    <xdr:to>
      <xdr:col>2</xdr:col>
      <xdr:colOff>533400</xdr:colOff>
      <xdr:row>11</xdr:row>
      <xdr:rowOff>45720</xdr:rowOff>
    </xdr:to>
    <xdr:sp macro="" textlink="">
      <xdr:nvSpPr>
        <xdr:cNvPr id="2" name="Freccia a sinistra 1">
          <a:extLst>
            <a:ext uri="{FF2B5EF4-FFF2-40B4-BE49-F238E27FC236}">
              <a16:creationId xmlns:a16="http://schemas.microsoft.com/office/drawing/2014/main" xmlns="" id="{ED34C4CC-A042-4820-8A5C-8B36201CE4B5}"/>
            </a:ext>
          </a:extLst>
        </xdr:cNvPr>
        <xdr:cNvSpPr/>
      </xdr:nvSpPr>
      <xdr:spPr>
        <a:xfrm>
          <a:off x="5935980" y="1112520"/>
          <a:ext cx="403860" cy="2362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112895</xdr:rowOff>
    </xdr:from>
    <xdr:to>
      <xdr:col>7</xdr:col>
      <xdr:colOff>403860</xdr:colOff>
      <xdr:row>25</xdr:row>
      <xdr:rowOff>349115</xdr:rowOff>
    </xdr:to>
    <xdr:sp macro="" textlink="">
      <xdr:nvSpPr>
        <xdr:cNvPr id="2" name="Freccia a sinistra 1">
          <a:extLst>
            <a:ext uri="{FF2B5EF4-FFF2-40B4-BE49-F238E27FC236}">
              <a16:creationId xmlns:a16="http://schemas.microsoft.com/office/drawing/2014/main" xmlns="" id="{B4BC2626-EE1D-46CF-95DF-10BEC6AFC6E4}"/>
            </a:ext>
          </a:extLst>
        </xdr:cNvPr>
        <xdr:cNvSpPr/>
      </xdr:nvSpPr>
      <xdr:spPr>
        <a:xfrm>
          <a:off x="8494889" y="4776617"/>
          <a:ext cx="403860" cy="2362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7</xdr:row>
      <xdr:rowOff>200025</xdr:rowOff>
    </xdr:from>
    <xdr:ext cx="3819525" cy="2200275"/>
    <xdr:graphicFrame macro="">
      <xdr:nvGraphicFramePr>
        <xdr:cNvPr id="217356109" name="Chart 1">
          <a:extLst>
            <a:ext uri="{FF2B5EF4-FFF2-40B4-BE49-F238E27FC236}">
              <a16:creationId xmlns:a16="http://schemas.microsoft.com/office/drawing/2014/main" xmlns="" id="{00000000-0008-0000-0B00-00004D97F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581025</xdr:colOff>
      <xdr:row>7</xdr:row>
      <xdr:rowOff>323850</xdr:rowOff>
    </xdr:from>
    <xdr:ext cx="3819525" cy="2190750"/>
    <xdr:graphicFrame macro="">
      <xdr:nvGraphicFramePr>
        <xdr:cNvPr id="1169916690" name="Chart 2">
          <a:extLst>
            <a:ext uri="{FF2B5EF4-FFF2-40B4-BE49-F238E27FC236}">
              <a16:creationId xmlns:a16="http://schemas.microsoft.com/office/drawing/2014/main" xmlns="" id="{00000000-0008-0000-0B00-00001283B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08"/>
  <sheetViews>
    <sheetView workbookViewId="0">
      <selection activeCell="B11" sqref="B11"/>
    </sheetView>
  </sheetViews>
  <sheetFormatPr defaultColWidth="12.625" defaultRowHeight="15" customHeight="1" x14ac:dyDescent="0.3"/>
  <cols>
    <col min="1" max="1" width="63" customWidth="1"/>
    <col min="2" max="2" width="13.25" customWidth="1"/>
    <col min="3" max="3" width="8.625" customWidth="1"/>
    <col min="4" max="4" width="10.375" customWidth="1"/>
    <col min="5" max="5" width="10.625" customWidth="1"/>
    <col min="6" max="6" width="24.625" bestFit="1" customWidth="1"/>
    <col min="7" max="7" width="17.25" customWidth="1"/>
    <col min="8" max="8" width="17.625" bestFit="1" customWidth="1"/>
    <col min="9" max="9" width="7.375" customWidth="1"/>
    <col min="10" max="11" width="6.625" customWidth="1"/>
    <col min="12" max="26" width="5.625" customWidth="1"/>
  </cols>
  <sheetData>
    <row r="1" spans="1:16384" ht="23.25" customHeight="1" x14ac:dyDescent="0.3">
      <c r="A1" s="1" t="s">
        <v>226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6384" ht="13.5" customHeight="1" x14ac:dyDescent="0.3">
      <c r="A2" s="5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6384" ht="40.5" customHeight="1" x14ac:dyDescent="0.3">
      <c r="A3" s="534" t="s">
        <v>227</v>
      </c>
      <c r="B3" s="535"/>
      <c r="C3" s="535"/>
      <c r="D3" s="5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16384" ht="13.5" customHeight="1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16384" ht="13.5" hidden="1" customHeight="1" x14ac:dyDescent="0.3">
      <c r="A5" s="12"/>
      <c r="B5" s="14" t="s">
        <v>3</v>
      </c>
      <c r="C5" s="14" t="s">
        <v>4</v>
      </c>
      <c r="D5" s="16" t="s">
        <v>5</v>
      </c>
      <c r="E5" s="3"/>
      <c r="F5" s="3"/>
      <c r="G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16384" ht="13.5" hidden="1" customHeight="1" x14ac:dyDescent="0.3">
      <c r="A6" s="440" t="s">
        <v>7</v>
      </c>
      <c r="B6" s="441">
        <f>19460266.66+2000000*0+549600-9867</f>
        <v>19999999.66</v>
      </c>
      <c r="C6" s="24">
        <f>+B29</f>
        <v>5681.91</v>
      </c>
      <c r="D6" s="26">
        <f>B6/C6</f>
        <v>3519.9430578801848</v>
      </c>
      <c r="E6" s="28">
        <f>B6/$B$8</f>
        <v>1</v>
      </c>
      <c r="F6" s="29"/>
      <c r="G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16384" ht="13.5" hidden="1" customHeight="1" x14ac:dyDescent="0.3">
      <c r="A7" s="440"/>
      <c r="B7" s="441">
        <v>0</v>
      </c>
      <c r="C7" s="24">
        <v>0</v>
      </c>
      <c r="D7" s="26">
        <v>0</v>
      </c>
      <c r="E7" s="28">
        <f>B7/$B$8</f>
        <v>0</v>
      </c>
      <c r="F7" s="29"/>
      <c r="G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6384" ht="13.5" hidden="1" customHeight="1" x14ac:dyDescent="0.3">
      <c r="A8" s="42" t="s">
        <v>11</v>
      </c>
      <c r="B8" s="44">
        <f>SUM(B6:B7)</f>
        <v>19999999.66</v>
      </c>
      <c r="C8" s="45"/>
      <c r="D8" s="47"/>
      <c r="E8" s="48">
        <f>B8/$B$8</f>
        <v>1</v>
      </c>
      <c r="F8" s="49"/>
      <c r="G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16384" ht="13.5" hidden="1" customHeight="1" x14ac:dyDescent="0.3">
      <c r="A9" s="58"/>
      <c r="B9" s="59"/>
      <c r="C9" s="60"/>
      <c r="D9" s="61"/>
      <c r="E9" s="62"/>
      <c r="F9" s="49"/>
      <c r="G9" s="3"/>
      <c r="H9" s="3"/>
      <c r="I9" s="3"/>
      <c r="J9" s="3"/>
      <c r="K9" s="6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16384" ht="18" hidden="1" customHeight="1" x14ac:dyDescent="0.3">
      <c r="A10" s="444" t="s">
        <v>233</v>
      </c>
      <c r="B10" s="466">
        <f>B11/B8</f>
        <v>0</v>
      </c>
      <c r="C10" s="60"/>
      <c r="D10" s="61"/>
      <c r="E10" s="62"/>
      <c r="F10" s="49"/>
      <c r="G10" s="3"/>
      <c r="H10" s="3"/>
      <c r="I10" s="3"/>
      <c r="J10" s="3"/>
      <c r="K10" s="6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16384" ht="13.5" customHeight="1" thickBot="1" x14ac:dyDescent="0.35">
      <c r="A11" s="446" t="s">
        <v>232</v>
      </c>
      <c r="B11" s="515"/>
      <c r="C11" s="60"/>
      <c r="D11" s="537" t="str">
        <f>IF(B11&gt;500000, "VALORE INSERITO CORRETTAMENTE", "INSERIRE IMPORTO &gt; 500.000€")</f>
        <v>INSERIRE IMPORTO &gt; 500.000€</v>
      </c>
      <c r="E11" s="537"/>
      <c r="F11" s="537"/>
      <c r="G11" s="3"/>
      <c r="H11" s="3"/>
      <c r="I11" s="3"/>
      <c r="J11" s="3"/>
      <c r="K11" s="6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16384" ht="13.5" customHeight="1" x14ac:dyDescent="0.3">
      <c r="A12" s="3"/>
      <c r="B12" s="3"/>
      <c r="C12" s="3"/>
      <c r="D12" s="3"/>
      <c r="E12" s="3"/>
      <c r="F12" s="66"/>
      <c r="G12" s="67"/>
      <c r="H12" s="68"/>
      <c r="I12" s="63"/>
      <c r="J12" s="6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16384" s="324" customFormat="1" ht="13.5" customHeight="1" x14ac:dyDescent="0.3">
      <c r="A13" s="25" t="s">
        <v>17</v>
      </c>
      <c r="B13" s="25"/>
      <c r="C13" s="25"/>
      <c r="D13" s="25"/>
      <c r="E13" s="2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ht="13.5" customHeight="1" x14ac:dyDescent="0.3">
      <c r="A14" s="3"/>
      <c r="B14" s="10"/>
      <c r="C14" s="15" t="s">
        <v>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16384" ht="13.5" customHeight="1" x14ac:dyDescent="0.3">
      <c r="A15" s="69" t="s">
        <v>18</v>
      </c>
      <c r="B15" s="357">
        <f>B16+B17</f>
        <v>2864</v>
      </c>
      <c r="C15" s="365">
        <f t="shared" ref="C15:C32" si="0">B15/$B$32</f>
        <v>0.50405585445739198</v>
      </c>
      <c r="D15" s="3"/>
      <c r="E15" s="442" t="s">
        <v>228</v>
      </c>
      <c r="F15" s="17"/>
      <c r="G15" s="2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16384" ht="13.5" customHeight="1" x14ac:dyDescent="0.3">
      <c r="A16" s="72" t="s">
        <v>20</v>
      </c>
      <c r="B16" s="358">
        <v>368</v>
      </c>
      <c r="C16" s="366">
        <f t="shared" si="0"/>
        <v>6.4766953366033608E-2</v>
      </c>
      <c r="D16" s="3"/>
      <c r="E16" s="538" t="s">
        <v>229</v>
      </c>
      <c r="F16" s="539"/>
      <c r="G16" s="35">
        <f>B37</f>
        <v>21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6" ht="13.5" customHeight="1" x14ac:dyDescent="0.3">
      <c r="A17" s="72" t="s">
        <v>21</v>
      </c>
      <c r="B17" s="358">
        <v>2496</v>
      </c>
      <c r="C17" s="366">
        <f t="shared" si="0"/>
        <v>0.43928890109135837</v>
      </c>
      <c r="D17" s="3"/>
      <c r="E17" s="540" t="s">
        <v>230</v>
      </c>
      <c r="F17" s="541"/>
      <c r="G17" s="35">
        <f>B40</f>
        <v>104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6" ht="13.5" customHeight="1" x14ac:dyDescent="0.3">
      <c r="A18" s="76" t="s">
        <v>22</v>
      </c>
      <c r="B18" s="359">
        <f>B19+B20</f>
        <v>1532.91</v>
      </c>
      <c r="C18" s="366">
        <f t="shared" si="0"/>
        <v>0.26978780022914833</v>
      </c>
      <c r="D18" s="3"/>
      <c r="E18" s="52" t="s">
        <v>14</v>
      </c>
      <c r="F18" s="55"/>
      <c r="G18" s="56">
        <f>G16+G17*2</f>
        <v>229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6" ht="13.5" customHeight="1" x14ac:dyDescent="0.3">
      <c r="A19" s="72" t="s">
        <v>24</v>
      </c>
      <c r="B19" s="358">
        <v>1532.91</v>
      </c>
      <c r="C19" s="366">
        <f t="shared" si="0"/>
        <v>0.26978780022914833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72" t="s">
        <v>25</v>
      </c>
      <c r="B20" s="358"/>
      <c r="C20" s="366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hidden="1" customHeight="1" x14ac:dyDescent="0.3">
      <c r="A21" s="76" t="s">
        <v>26</v>
      </c>
      <c r="B21" s="359">
        <f>B22+B23+B24</f>
        <v>0</v>
      </c>
      <c r="C21" s="366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hidden="1" customHeight="1" x14ac:dyDescent="0.3">
      <c r="A22" s="72" t="str">
        <f>CONCATENATE("di cui appartamenti da", " ", A46, " ", "mq")</f>
        <v>di cui appartamenti da 150 mq</v>
      </c>
      <c r="B22" s="360">
        <f>C46</f>
        <v>0</v>
      </c>
      <c r="C22" s="366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hidden="1" customHeight="1" x14ac:dyDescent="0.3">
      <c r="A23" s="72" t="str">
        <f>CONCATENATE("di cui appartamenti da", " ", A47, " ", "mq")</f>
        <v>di cui appartamenti da 75 mq</v>
      </c>
      <c r="B23" s="360">
        <f>C47</f>
        <v>0</v>
      </c>
      <c r="C23" s="366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hidden="1" customHeight="1" x14ac:dyDescent="0.3">
      <c r="A24" s="72" t="str">
        <f>CONCATENATE("di cui appartamenti da", " ", A48, " ", "mq")</f>
        <v>di cui appartamenti da 50 mq</v>
      </c>
      <c r="B24" s="360">
        <f>C48</f>
        <v>0</v>
      </c>
      <c r="C24" s="366">
        <f t="shared" si="0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76" t="s">
        <v>27</v>
      </c>
      <c r="B25" s="359">
        <f>+B26+B27+B28</f>
        <v>1285</v>
      </c>
      <c r="C25" s="366">
        <f t="shared" si="0"/>
        <v>0.22615634531345974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72" t="s">
        <v>206</v>
      </c>
      <c r="B26" s="358">
        <v>528</v>
      </c>
      <c r="C26" s="366">
        <f t="shared" si="0"/>
        <v>9.2926498307787347E-2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72" t="s">
        <v>205</v>
      </c>
      <c r="B27" s="358">
        <v>316</v>
      </c>
      <c r="C27" s="366">
        <f t="shared" si="0"/>
        <v>5.5615101259963641E-2</v>
      </c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</row>
    <row r="28" spans="1:26" ht="13.5" customHeight="1" x14ac:dyDescent="0.3">
      <c r="A28" s="72" t="s">
        <v>28</v>
      </c>
      <c r="B28" s="358">
        <v>441</v>
      </c>
      <c r="C28" s="366">
        <f t="shared" si="0"/>
        <v>7.7614745745708758E-2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81" t="s">
        <v>29</v>
      </c>
      <c r="B29" s="361">
        <f>B25+B21+B18+B15</f>
        <v>5681.91</v>
      </c>
      <c r="C29" s="367">
        <f t="shared" si="0"/>
        <v>1</v>
      </c>
      <c r="D29" s="3"/>
      <c r="E29" s="3"/>
      <c r="F29" s="3" t="s">
        <v>10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88" t="s">
        <v>30</v>
      </c>
      <c r="B30" s="362">
        <v>0</v>
      </c>
      <c r="C30" s="368">
        <f t="shared" si="0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474" t="s">
        <v>245</v>
      </c>
      <c r="B31" s="363">
        <v>3134</v>
      </c>
      <c r="C31" s="369">
        <f t="shared" si="0"/>
        <v>0.55157508654660137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81" t="s">
        <v>29</v>
      </c>
      <c r="B32" s="364">
        <f>+B29+B30</f>
        <v>5681.91</v>
      </c>
      <c r="C32" s="370">
        <f t="shared" si="0"/>
        <v>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91"/>
      <c r="B33" s="92"/>
      <c r="C33" s="9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"/>
      <c r="B34" s="443" t="s">
        <v>231</v>
      </c>
      <c r="C34" s="15" t="s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21" t="s">
        <v>31</v>
      </c>
      <c r="B35" s="347">
        <v>21</v>
      </c>
      <c r="C35" s="349">
        <f>B35/B$37</f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27"/>
      <c r="B36" s="348">
        <v>0</v>
      </c>
      <c r="C36" s="350">
        <f>B36/B$37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94" t="s">
        <v>32</v>
      </c>
      <c r="B37" s="351">
        <f>B36+B35</f>
        <v>21</v>
      </c>
      <c r="C37" s="354">
        <f>B37/B$37</f>
        <v>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27" t="s">
        <v>33</v>
      </c>
      <c r="B38" s="352">
        <v>104</v>
      </c>
      <c r="C38" s="349">
        <f>B38/B$40</f>
        <v>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27"/>
      <c r="B39" s="353">
        <v>0</v>
      </c>
      <c r="C39" s="350">
        <f>B39/B$40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94" t="s">
        <v>34</v>
      </c>
      <c r="B40" s="351">
        <f>B39+B38</f>
        <v>104</v>
      </c>
      <c r="C40" s="354">
        <f>B40/B$40</f>
        <v>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1" t="s">
        <v>9</v>
      </c>
      <c r="B41" s="355">
        <f>B40*2+B37</f>
        <v>229</v>
      </c>
      <c r="C41" s="35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68"/>
      <c r="B42" s="49"/>
      <c r="C42" s="95"/>
      <c r="D42" s="49"/>
      <c r="E42" s="9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68"/>
      <c r="B43" s="49"/>
      <c r="C43" s="95"/>
      <c r="D43" s="49"/>
      <c r="E43" s="9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hidden="1" customHeight="1" x14ac:dyDescent="0.3">
      <c r="A44" s="68"/>
      <c r="B44" s="10" t="s">
        <v>2</v>
      </c>
      <c r="C44" s="53"/>
      <c r="D44" s="10" t="s">
        <v>35</v>
      </c>
      <c r="E44" s="9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hidden="1" customHeight="1" x14ac:dyDescent="0.3">
      <c r="A45" s="68" t="s">
        <v>38</v>
      </c>
      <c r="B45" s="97" t="s">
        <v>39</v>
      </c>
      <c r="C45" s="99" t="s">
        <v>41</v>
      </c>
      <c r="D45" s="97" t="s">
        <v>39</v>
      </c>
      <c r="E45" s="99" t="s">
        <v>41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hidden="1" customHeight="1" x14ac:dyDescent="0.3">
      <c r="A46" s="100">
        <v>150</v>
      </c>
      <c r="B46" s="100"/>
      <c r="C46" s="101">
        <f>B46*A46</f>
        <v>0</v>
      </c>
      <c r="D46" s="100">
        <v>0</v>
      </c>
      <c r="E46" s="101">
        <f>D46*A46</f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hidden="1" customHeight="1" x14ac:dyDescent="0.3">
      <c r="A47" s="102">
        <v>75</v>
      </c>
      <c r="B47" s="102"/>
      <c r="C47" s="104">
        <f>B47*A47</f>
        <v>0</v>
      </c>
      <c r="D47" s="102">
        <v>0</v>
      </c>
      <c r="E47" s="104">
        <f>D47*A47</f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hidden="1" customHeight="1" x14ac:dyDescent="0.3">
      <c r="A48" s="105">
        <v>50</v>
      </c>
      <c r="B48" s="105"/>
      <c r="C48" s="106">
        <f>B48*A48</f>
        <v>0</v>
      </c>
      <c r="D48" s="105">
        <v>0</v>
      </c>
      <c r="E48" s="106">
        <f>D48*A48</f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16384" ht="13.5" hidden="1" customHeight="1" x14ac:dyDescent="0.3">
      <c r="A49" s="68"/>
      <c r="B49" s="49"/>
      <c r="C49" s="95"/>
      <c r="D49" s="49"/>
      <c r="E49" s="9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16384" ht="13.5" hidden="1" customHeight="1" x14ac:dyDescent="0.3">
      <c r="A50" s="3"/>
      <c r="B50" s="109"/>
      <c r="C50" s="110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16384" ht="13.5" customHeight="1" x14ac:dyDescent="0.3">
      <c r="A51" s="25" t="s">
        <v>47</v>
      </c>
      <c r="B51" s="111"/>
      <c r="C51" s="25"/>
      <c r="D51" s="25"/>
      <c r="E51" s="2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16384" s="324" customFormat="1" ht="13.5" customHeight="1" x14ac:dyDescent="0.3">
      <c r="A52" s="322"/>
      <c r="B52" s="323"/>
      <c r="C52" s="322"/>
      <c r="D52" s="322"/>
      <c r="E52" s="32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  <c r="WVM52"/>
      <c r="WVN52"/>
      <c r="WVO52"/>
      <c r="WVP52"/>
      <c r="WVQ52"/>
      <c r="WVR52"/>
      <c r="WVS52"/>
      <c r="WVT52"/>
      <c r="WVU52"/>
      <c r="WVV52"/>
      <c r="WVW52"/>
      <c r="WVX52"/>
      <c r="WVY52"/>
      <c r="WVZ52"/>
      <c r="WWA52"/>
      <c r="WWB52"/>
      <c r="WWC52"/>
      <c r="WWD52"/>
      <c r="WWE52"/>
      <c r="WWF52"/>
      <c r="WWG52"/>
      <c r="WWH52"/>
      <c r="WWI52"/>
      <c r="WWJ52"/>
      <c r="WWK52"/>
      <c r="WWL52"/>
      <c r="WWM52"/>
      <c r="WWN52"/>
      <c r="WWO52"/>
      <c r="WWP52"/>
      <c r="WWQ52"/>
      <c r="WWR52"/>
      <c r="WWS52"/>
      <c r="WWT52"/>
      <c r="WWU52"/>
      <c r="WWV52"/>
      <c r="WWW52"/>
      <c r="WWX52"/>
      <c r="WWY52"/>
      <c r="WWZ52"/>
      <c r="WXA52"/>
      <c r="WXB52"/>
      <c r="WXC52"/>
      <c r="WXD52"/>
      <c r="WXE52"/>
      <c r="WXF52"/>
      <c r="WXG52"/>
      <c r="WXH52"/>
      <c r="WXI52"/>
      <c r="WXJ52"/>
      <c r="WXK52"/>
      <c r="WXL52"/>
      <c r="WXM52"/>
      <c r="WXN52"/>
      <c r="WXO52"/>
      <c r="WXP52"/>
      <c r="WXQ52"/>
      <c r="WXR52"/>
      <c r="WXS52"/>
      <c r="WXT52"/>
      <c r="WXU52"/>
      <c r="WXV52"/>
      <c r="WXW52"/>
      <c r="WXX52"/>
      <c r="WXY52"/>
      <c r="WXZ52"/>
      <c r="WYA52"/>
      <c r="WYB52"/>
      <c r="WYC52"/>
      <c r="WYD52"/>
      <c r="WYE52"/>
      <c r="WYF52"/>
      <c r="WYG52"/>
      <c r="WYH52"/>
      <c r="WYI52"/>
      <c r="WYJ52"/>
      <c r="WYK52"/>
      <c r="WYL52"/>
      <c r="WYM52"/>
      <c r="WYN52"/>
      <c r="WYO52"/>
      <c r="WYP52"/>
      <c r="WYQ52"/>
      <c r="WYR52"/>
      <c r="WYS52"/>
      <c r="WYT52"/>
      <c r="WYU52"/>
      <c r="WYV52"/>
      <c r="WYW52"/>
      <c r="WYX52"/>
      <c r="WYY52"/>
      <c r="WYZ52"/>
      <c r="WZA52"/>
      <c r="WZB52"/>
      <c r="WZC52"/>
      <c r="WZD52"/>
      <c r="WZE52"/>
      <c r="WZF52"/>
      <c r="WZG52"/>
      <c r="WZH52"/>
      <c r="WZI52"/>
      <c r="WZJ52"/>
      <c r="WZK52"/>
      <c r="WZL52"/>
      <c r="WZM52"/>
      <c r="WZN52"/>
      <c r="WZO52"/>
      <c r="WZP52"/>
      <c r="WZQ52"/>
      <c r="WZR52"/>
      <c r="WZS52"/>
      <c r="WZT52"/>
      <c r="WZU52"/>
      <c r="WZV52"/>
      <c r="WZW52"/>
      <c r="WZX52"/>
      <c r="WZY52"/>
      <c r="WZZ52"/>
      <c r="XAA52"/>
      <c r="XAB52"/>
      <c r="XAC52"/>
      <c r="XAD52"/>
      <c r="XAE52"/>
      <c r="XAF52"/>
      <c r="XAG52"/>
      <c r="XAH52"/>
      <c r="XAI52"/>
      <c r="XAJ52"/>
      <c r="XAK52"/>
      <c r="XAL52"/>
      <c r="XAM52"/>
      <c r="XAN52"/>
      <c r="XAO52"/>
      <c r="XAP52"/>
      <c r="XAQ52"/>
      <c r="XAR52"/>
      <c r="XAS52"/>
      <c r="XAT52"/>
      <c r="XAU52"/>
      <c r="XAV52"/>
      <c r="XAW52"/>
      <c r="XAX52"/>
      <c r="XAY52"/>
      <c r="XAZ52"/>
      <c r="XBA52"/>
      <c r="XBB52"/>
      <c r="XBC52"/>
      <c r="XBD52"/>
      <c r="XBE52"/>
      <c r="XBF52"/>
      <c r="XBG52"/>
      <c r="XBH52"/>
      <c r="XBI52"/>
      <c r="XBJ52"/>
      <c r="XBK52"/>
      <c r="XBL52"/>
      <c r="XBM52"/>
      <c r="XBN52"/>
      <c r="XBO52"/>
      <c r="XBP52"/>
      <c r="XBQ52"/>
      <c r="XBR52"/>
      <c r="XBS52"/>
      <c r="XBT52"/>
      <c r="XBU52"/>
      <c r="XBV52"/>
      <c r="XBW52"/>
      <c r="XBX52"/>
      <c r="XBY52"/>
      <c r="XBZ52"/>
      <c r="XCA52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  <c r="XFB52"/>
      <c r="XFC52"/>
      <c r="XFD52"/>
    </row>
    <row r="53" spans="1:16384" ht="41.45" customHeight="1" x14ac:dyDescent="0.3">
      <c r="A53" s="445" t="s">
        <v>234</v>
      </c>
      <c r="B53" s="346" t="s">
        <v>52</v>
      </c>
      <c r="C53" s="309" t="s">
        <v>53</v>
      </c>
      <c r="D53" s="310" t="s">
        <v>54</v>
      </c>
      <c r="E53" s="208" t="s">
        <v>55</v>
      </c>
      <c r="F53" s="451" t="s">
        <v>253</v>
      </c>
      <c r="G53" s="518" t="s">
        <v>256</v>
      </c>
      <c r="H53" s="516" t="s">
        <v>255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16384" ht="13.5" customHeight="1" x14ac:dyDescent="0.3">
      <c r="A54" s="103" t="s">
        <v>56</v>
      </c>
      <c r="B54" s="463">
        <f>F54*(1-G54)/30</f>
        <v>12.5</v>
      </c>
      <c r="C54" s="345">
        <v>0.1</v>
      </c>
      <c r="D54" s="422">
        <f>+B54-E54</f>
        <v>1.1363636363636367</v>
      </c>
      <c r="E54" s="421">
        <f>+B54/(1+C54)</f>
        <v>11.363636363636363</v>
      </c>
      <c r="F54" s="447">
        <v>375</v>
      </c>
      <c r="G54" s="519"/>
      <c r="H54" s="447">
        <f>F54*(1-G54)</f>
        <v>375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16384" ht="13.5" customHeight="1" x14ac:dyDescent="0.3">
      <c r="A55" s="103" t="s">
        <v>50</v>
      </c>
      <c r="B55" s="463">
        <f>F55*(1-G55)/30</f>
        <v>18.333333333333332</v>
      </c>
      <c r="C55" s="345">
        <v>0.1</v>
      </c>
      <c r="D55" s="422">
        <f>+B55-E55</f>
        <v>1.6666666666666679</v>
      </c>
      <c r="E55" s="421">
        <f>+B55/(1+C55)</f>
        <v>16.666666666666664</v>
      </c>
      <c r="F55" s="447">
        <f>275*2</f>
        <v>550</v>
      </c>
      <c r="G55" s="519"/>
      <c r="H55" s="447">
        <f>F55*(1-G55)</f>
        <v>550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16384" ht="13.5" customHeight="1" x14ac:dyDescent="0.3">
      <c r="A56" s="3"/>
      <c r="B56" s="435"/>
      <c r="C56" s="3"/>
      <c r="D56" s="3"/>
      <c r="E56" s="3"/>
      <c r="F56" s="447"/>
      <c r="G56" s="52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16384" ht="30" customHeight="1" x14ac:dyDescent="0.3">
      <c r="A57" s="445" t="s">
        <v>235</v>
      </c>
      <c r="B57" s="464" t="s">
        <v>52</v>
      </c>
      <c r="C57" s="309" t="s">
        <v>53</v>
      </c>
      <c r="D57" s="310" t="s">
        <v>54</v>
      </c>
      <c r="E57" s="208" t="s">
        <v>55</v>
      </c>
      <c r="F57" s="447"/>
      <c r="G57" s="52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16384" ht="13.5" customHeight="1" x14ac:dyDescent="0.3">
      <c r="A58" s="103" t="s">
        <v>56</v>
      </c>
      <c r="B58" s="463">
        <f>F58*(1-G58)/30</f>
        <v>15.833333333333334</v>
      </c>
      <c r="C58" s="345">
        <v>0.1</v>
      </c>
      <c r="D58" s="422">
        <f>+B58-E58</f>
        <v>1.4393939393939412</v>
      </c>
      <c r="E58" s="421">
        <f>+B58/(1+C58)</f>
        <v>14.393939393939393</v>
      </c>
      <c r="F58" s="447">
        <v>475</v>
      </c>
      <c r="G58" s="519"/>
      <c r="H58" s="447">
        <f>F58*(1-G58)</f>
        <v>475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16384" ht="13.5" customHeight="1" x14ac:dyDescent="0.3">
      <c r="A59" s="103" t="s">
        <v>50</v>
      </c>
      <c r="B59" s="463">
        <f>F59*(1-G59)/30</f>
        <v>25</v>
      </c>
      <c r="C59" s="345">
        <v>0.1</v>
      </c>
      <c r="D59" s="422">
        <f>+B59-E59</f>
        <v>2.2727272727272734</v>
      </c>
      <c r="E59" s="421">
        <f>+B59/(1+C59)</f>
        <v>22.727272727272727</v>
      </c>
      <c r="F59" s="447">
        <f>375*2</f>
        <v>750</v>
      </c>
      <c r="G59" s="519"/>
      <c r="H59" s="447">
        <f>F59*(1-G59)</f>
        <v>750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16384" ht="13.5" customHeight="1" x14ac:dyDescent="0.3">
      <c r="A60" s="3"/>
      <c r="B60" s="435"/>
      <c r="C60" s="3"/>
      <c r="D60" s="4"/>
      <c r="E60" s="3"/>
      <c r="F60" s="447"/>
      <c r="G60" s="52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16384" ht="30" customHeight="1" x14ac:dyDescent="0.3">
      <c r="A61" s="371" t="s">
        <v>204</v>
      </c>
      <c r="B61" s="465" t="s">
        <v>52</v>
      </c>
      <c r="C61" s="315" t="s">
        <v>53</v>
      </c>
      <c r="D61" s="316" t="s">
        <v>54</v>
      </c>
      <c r="E61" s="317" t="s">
        <v>55</v>
      </c>
      <c r="F61" s="447"/>
      <c r="G61" s="52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16384" ht="13.5" customHeight="1" x14ac:dyDescent="0.3">
      <c r="A62" s="318" t="s">
        <v>56</v>
      </c>
      <c r="B62" s="463">
        <f>F62*(1-G62)/30</f>
        <v>25</v>
      </c>
      <c r="C62" s="345">
        <v>0.1</v>
      </c>
      <c r="D62" s="422">
        <f>+B62-E62</f>
        <v>2.2727272727272734</v>
      </c>
      <c r="E62" s="421">
        <f>+B62/(1+C62)</f>
        <v>22.727272727272727</v>
      </c>
      <c r="F62" s="447">
        <v>750</v>
      </c>
      <c r="G62" s="519"/>
      <c r="H62" s="447">
        <f>F62*(1-G62)</f>
        <v>750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16384" ht="13.5" customHeight="1" x14ac:dyDescent="0.3">
      <c r="A63" s="319" t="s">
        <v>50</v>
      </c>
      <c r="B63" s="463">
        <f>F63*(1-G63)/30</f>
        <v>40</v>
      </c>
      <c r="C63" s="345">
        <v>0.1</v>
      </c>
      <c r="D63" s="422">
        <f>+B63-E63</f>
        <v>3.6363636363636402</v>
      </c>
      <c r="E63" s="421">
        <f>+B63/(1+C63)</f>
        <v>36.36363636363636</v>
      </c>
      <c r="F63" s="447">
        <f>600*2</f>
        <v>1200</v>
      </c>
      <c r="G63" s="519"/>
      <c r="H63" s="447">
        <f>F63*(1-G63)</f>
        <v>1200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16384" ht="13.5" customHeight="1" x14ac:dyDescent="0.3">
      <c r="A64" s="3"/>
      <c r="B64" s="435"/>
      <c r="C64" s="3"/>
      <c r="D64" s="4"/>
      <c r="E64" s="3"/>
      <c r="F64" s="44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" x14ac:dyDescent="0.3">
      <c r="A65" s="372" t="s">
        <v>19</v>
      </c>
      <c r="B65" s="465" t="s">
        <v>52</v>
      </c>
      <c r="C65" s="315" t="s">
        <v>53</v>
      </c>
      <c r="D65" s="316" t="s">
        <v>54</v>
      </c>
      <c r="E65" s="317" t="s">
        <v>55</v>
      </c>
      <c r="F65" s="448"/>
      <c r="G65" s="3"/>
      <c r="H65" s="3"/>
      <c r="I65" s="3"/>
      <c r="J65" s="3"/>
      <c r="K65" s="3"/>
      <c r="L65" s="3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</row>
    <row r="66" spans="1:26" ht="13.5" customHeight="1" x14ac:dyDescent="0.3">
      <c r="A66" s="373" t="s">
        <v>56</v>
      </c>
      <c r="B66" s="463">
        <f>F66/30</f>
        <v>0</v>
      </c>
      <c r="C66" s="345">
        <v>0.1</v>
      </c>
      <c r="D66" s="422">
        <f>+B66-E66</f>
        <v>0</v>
      </c>
      <c r="E66" s="421">
        <f>+B66/(1+C66)</f>
        <v>0</v>
      </c>
      <c r="F66" s="497"/>
      <c r="G66" s="3" t="s">
        <v>254</v>
      </c>
      <c r="H66" s="3"/>
      <c r="I66" s="3"/>
      <c r="J66" s="3"/>
      <c r="K66" s="3"/>
      <c r="L66" s="3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</row>
    <row r="67" spans="1:26" ht="13.5" customHeight="1" x14ac:dyDescent="0.3">
      <c r="A67" s="373" t="s">
        <v>50</v>
      </c>
      <c r="B67" s="463">
        <f>F67/30</f>
        <v>0</v>
      </c>
      <c r="C67" s="345">
        <v>0.1</v>
      </c>
      <c r="D67" s="422">
        <f>+B67-E67</f>
        <v>0</v>
      </c>
      <c r="E67" s="421">
        <f>+B67/(1+C67)</f>
        <v>0</v>
      </c>
      <c r="F67" s="497"/>
      <c r="G67" s="3" t="s">
        <v>254</v>
      </c>
      <c r="H67" s="3"/>
      <c r="I67" s="3"/>
      <c r="J67" s="3"/>
      <c r="K67" s="3"/>
      <c r="L67" s="3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</row>
    <row r="68" spans="1:26" ht="13.5" customHeight="1" x14ac:dyDescent="0.3">
      <c r="A68" s="311"/>
      <c r="B68" s="459"/>
      <c r="C68" s="311"/>
      <c r="D68" s="321"/>
      <c r="E68" s="311"/>
      <c r="F68" s="449"/>
      <c r="G68" s="3"/>
      <c r="H68" s="3"/>
      <c r="I68" s="3"/>
      <c r="J68" s="3"/>
      <c r="K68" s="3"/>
      <c r="L68" s="3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</row>
    <row r="69" spans="1:26" ht="24" x14ac:dyDescent="0.3">
      <c r="A69" s="374" t="s">
        <v>44</v>
      </c>
      <c r="B69" s="464" t="s">
        <v>224</v>
      </c>
      <c r="C69" s="309" t="s">
        <v>53</v>
      </c>
      <c r="D69" s="310" t="s">
        <v>54</v>
      </c>
      <c r="E69" s="208" t="s">
        <v>55</v>
      </c>
      <c r="F69" s="45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5" t="s">
        <v>198</v>
      </c>
      <c r="B70" s="463">
        <f>F70/30</f>
        <v>0</v>
      </c>
      <c r="C70" s="345">
        <v>0.22</v>
      </c>
      <c r="D70" s="422">
        <f>+B70-E70</f>
        <v>0</v>
      </c>
      <c r="E70" s="421">
        <f>+B70/(1+C70)</f>
        <v>0</v>
      </c>
      <c r="F70" s="497"/>
      <c r="G70" s="3" t="s">
        <v>254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6" t="s">
        <v>197</v>
      </c>
      <c r="B71" s="463">
        <f>F71/30</f>
        <v>0</v>
      </c>
      <c r="C71" s="345">
        <v>0.22</v>
      </c>
      <c r="D71" s="422">
        <f>+B71-E71</f>
        <v>0</v>
      </c>
      <c r="E71" s="421">
        <f>+B71/(1+C71)</f>
        <v>0</v>
      </c>
      <c r="F71" s="497"/>
      <c r="G71" s="3" t="s">
        <v>254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9.25" customHeight="1" x14ac:dyDescent="0.3">
      <c r="A72" s="3"/>
      <c r="B72" s="116"/>
      <c r="C72" s="3"/>
      <c r="D72" s="3"/>
      <c r="E72" s="3"/>
      <c r="F72" s="3"/>
      <c r="G72" s="3"/>
      <c r="H72" s="1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"/>
      <c r="B73" s="11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"/>
      <c r="B74" s="11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"/>
      <c r="B75" s="11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25" t="s">
        <v>61</v>
      </c>
      <c r="B76" s="25"/>
      <c r="C76" s="25"/>
      <c r="D76" s="25"/>
      <c r="E76" s="2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"/>
      <c r="B78" s="42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.75" x14ac:dyDescent="0.3">
      <c r="A79" s="3"/>
      <c r="B79" s="342" t="s">
        <v>191</v>
      </c>
      <c r="C79" s="343" t="s">
        <v>192</v>
      </c>
      <c r="D79" s="343" t="s">
        <v>49</v>
      </c>
      <c r="E79" s="344" t="s">
        <v>193</v>
      </c>
      <c r="F79" s="451" t="s">
        <v>236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6" ht="30" x14ac:dyDescent="0.3">
      <c r="A80" s="517" t="s">
        <v>257</v>
      </c>
      <c r="B80" s="460">
        <f>IF(F80&lt;2400,0,F80-2400)</f>
        <v>0</v>
      </c>
      <c r="C80" s="339">
        <v>0.22</v>
      </c>
      <c r="D80" s="423">
        <f>+B80-E80</f>
        <v>0</v>
      </c>
      <c r="E80" s="424">
        <f>+B80/(1+C80)</f>
        <v>0</v>
      </c>
      <c r="F80" s="497"/>
      <c r="G80" s="521" t="s">
        <v>258</v>
      </c>
      <c r="H80" s="11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6" ht="13.5" customHeight="1" x14ac:dyDescent="0.3">
      <c r="A81" s="115"/>
      <c r="B81" s="461"/>
      <c r="C81" s="340"/>
      <c r="D81" s="425"/>
      <c r="E81" s="426"/>
      <c r="F81" s="3"/>
      <c r="G81" s="3"/>
      <c r="H81" s="2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6" ht="13.5" customHeight="1" x14ac:dyDescent="0.3">
      <c r="A82" s="468" t="s">
        <v>238</v>
      </c>
      <c r="B82" s="461">
        <f>F82</f>
        <v>0</v>
      </c>
      <c r="C82" s="340">
        <v>0.22</v>
      </c>
      <c r="D82" s="425">
        <f>+B82-E82</f>
        <v>0</v>
      </c>
      <c r="E82" s="426">
        <f>+B82/(1+C82)</f>
        <v>0</v>
      </c>
      <c r="F82" s="497"/>
      <c r="G82" s="430" t="s">
        <v>239</v>
      </c>
      <c r="H82" s="2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6" ht="13.5" customHeight="1" x14ac:dyDescent="0.3">
      <c r="A83" s="468" t="s">
        <v>237</v>
      </c>
      <c r="B83" s="462">
        <f>F83</f>
        <v>0</v>
      </c>
      <c r="C83" s="341">
        <v>0.22</v>
      </c>
      <c r="D83" s="427">
        <f>+B83-E83</f>
        <v>0</v>
      </c>
      <c r="E83" s="428">
        <f>+B83/(1+C83)</f>
        <v>0</v>
      </c>
      <c r="F83" s="497"/>
      <c r="G83" s="430" t="s">
        <v>239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6" ht="13.5" customHeight="1" x14ac:dyDescent="0.3">
      <c r="A84" s="107"/>
      <c r="B84" s="29"/>
      <c r="C84" s="32"/>
      <c r="D84" s="29"/>
      <c r="E84" s="3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25" t="s">
        <v>62</v>
      </c>
      <c r="B85" s="25"/>
      <c r="C85" s="25"/>
      <c r="D85" s="25"/>
      <c r="E85" s="2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452" t="s">
        <v>63</v>
      </c>
      <c r="B87" s="45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112" t="s">
        <v>64</v>
      </c>
      <c r="B88" s="49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115" t="s">
        <v>65</v>
      </c>
      <c r="B89" s="499"/>
      <c r="C89" s="3" t="s">
        <v>259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114" t="s">
        <v>66</v>
      </c>
      <c r="B90" s="456">
        <f>B89*B88</f>
        <v>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107"/>
      <c r="B91" s="10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454" t="s">
        <v>58</v>
      </c>
      <c r="B92" s="45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112" t="s">
        <v>64</v>
      </c>
      <c r="B93" s="500"/>
      <c r="C93" s="3"/>
      <c r="D93" s="3"/>
      <c r="F93" s="42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115" t="s">
        <v>67</v>
      </c>
      <c r="B94" s="501"/>
      <c r="C94" s="3" t="s">
        <v>259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114" t="s">
        <v>68</v>
      </c>
      <c r="B95" s="457">
        <f>B94*B93</f>
        <v>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119"/>
      <c r="B96" s="12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454" t="s">
        <v>69</v>
      </c>
      <c r="B97" s="453"/>
      <c r="C97" s="12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112" t="s">
        <v>64</v>
      </c>
      <c r="B98" s="50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115" t="s">
        <v>67</v>
      </c>
      <c r="B99" s="501"/>
      <c r="C99" s="3" t="s">
        <v>259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114" t="s">
        <v>83</v>
      </c>
      <c r="B100" s="457">
        <f>B99*B98</f>
        <v>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107"/>
      <c r="B101" s="10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455" t="s">
        <v>221</v>
      </c>
      <c r="B102" s="45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 x14ac:dyDescent="0.3">
      <c r="A103" s="122" t="s">
        <v>240</v>
      </c>
      <c r="B103" s="503"/>
      <c r="C103" s="121"/>
      <c r="D103" s="430" t="s">
        <v>252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 x14ac:dyDescent="0.3">
      <c r="A104" s="98" t="s">
        <v>241</v>
      </c>
      <c r="B104" s="50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 x14ac:dyDescent="0.3">
      <c r="A105" s="98" t="s">
        <v>242</v>
      </c>
      <c r="B105" s="503"/>
      <c r="C105" s="3"/>
      <c r="D105" s="435" t="s">
        <v>260</v>
      </c>
      <c r="E105" s="42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 x14ac:dyDescent="0.3">
      <c r="A106" s="436" t="s">
        <v>243</v>
      </c>
      <c r="B106" s="50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 x14ac:dyDescent="0.3">
      <c r="A107" s="98"/>
      <c r="B107" s="45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 x14ac:dyDescent="0.3">
      <c r="A108" s="124" t="s">
        <v>71</v>
      </c>
      <c r="B108" s="50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107"/>
      <c r="B109" s="10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146" t="s">
        <v>60</v>
      </c>
      <c r="B110" s="45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479" t="s">
        <v>264</v>
      </c>
      <c r="B111" s="337">
        <f>1/6</f>
        <v>0.16666666666666666</v>
      </c>
      <c r="C111" s="3" t="s">
        <v>74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36"/>
      <c r="B112" s="33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480" t="s">
        <v>265</v>
      </c>
      <c r="B113" s="337">
        <f>1/8</f>
        <v>0.125</v>
      </c>
      <c r="C113" s="430" t="s">
        <v>217</v>
      </c>
      <c r="D113" s="3"/>
      <c r="E113" s="42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524" t="s">
        <v>211</v>
      </c>
      <c r="B114" s="338">
        <f>1/6</f>
        <v>0.16666666666666666</v>
      </c>
      <c r="C114" s="430" t="s">
        <v>74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475" t="s">
        <v>246</v>
      </c>
      <c r="B116" s="37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523" t="s">
        <v>263</v>
      </c>
      <c r="B117" s="333">
        <f>+E80*B41</f>
        <v>0</v>
      </c>
      <c r="C117" s="435" t="s">
        <v>216</v>
      </c>
      <c r="D117" s="435"/>
      <c r="E117" s="435"/>
      <c r="F117" s="435"/>
      <c r="G117" s="3"/>
      <c r="H117" s="80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18"/>
      <c r="B118" s="334"/>
      <c r="C118" s="435"/>
      <c r="D118" s="435"/>
      <c r="E118" s="435"/>
      <c r="F118" s="43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18" t="s">
        <v>203</v>
      </c>
      <c r="B119" s="334">
        <f>+E82*B26</f>
        <v>0</v>
      </c>
      <c r="C119" s="435" t="s">
        <v>216</v>
      </c>
      <c r="D119" s="435"/>
      <c r="E119" s="435"/>
      <c r="F119" s="435"/>
      <c r="G119" s="3"/>
      <c r="H119" s="80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19" t="s">
        <v>202</v>
      </c>
      <c r="B120" s="335">
        <f>+E83*B27</f>
        <v>0</v>
      </c>
      <c r="C120" s="435" t="s">
        <v>216</v>
      </c>
      <c r="D120" s="435"/>
      <c r="E120" s="435"/>
      <c r="F120" s="43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</sheetData>
  <sheetProtection password="EA95" sheet="1" objects="1" scenarios="1"/>
  <mergeCells count="4">
    <mergeCell ref="A3:D3"/>
    <mergeCell ref="D11:F11"/>
    <mergeCell ref="E16:F16"/>
    <mergeCell ref="E17:F17"/>
  </mergeCells>
  <pageMargins left="0.70866141732283472" right="0.70866141732283472" top="0.74803149606299213" bottom="0.74803149606299213" header="0" footer="0"/>
  <pageSetup paperSize="8" scale="6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defaultColWidth="12.625" defaultRowHeight="15" customHeight="1" x14ac:dyDescent="0.3"/>
  <cols>
    <col min="1" max="1" width="19" customWidth="1"/>
    <col min="2" max="4" width="7" customWidth="1"/>
    <col min="5" max="24" width="5.625" customWidth="1"/>
    <col min="25" max="26" width="9.625" customWidth="1"/>
  </cols>
  <sheetData>
    <row r="1" spans="1:24" ht="13.5" customHeight="1" x14ac:dyDescent="0.3">
      <c r="A1" s="3"/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3.5" customHeight="1" x14ac:dyDescent="0.3">
      <c r="A2" s="192"/>
      <c r="B2" s="194">
        <v>37257</v>
      </c>
      <c r="C2" s="195">
        <v>40344</v>
      </c>
      <c r="D2" s="197" t="s">
        <v>131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9.5" customHeight="1" x14ac:dyDescent="0.3">
      <c r="A3" s="199" t="s">
        <v>132</v>
      </c>
      <c r="B3" s="201">
        <v>100</v>
      </c>
      <c r="C3" s="201">
        <v>112</v>
      </c>
      <c r="D3" s="208">
        <f>(C2-B2)/360</f>
        <v>8.5749999999999993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 x14ac:dyDescent="0.3">
      <c r="A4" s="559" t="s">
        <v>137</v>
      </c>
      <c r="B4" s="560"/>
      <c r="C4" s="561"/>
      <c r="D4" s="218">
        <f>(C3/B3)^(1/D3)-1</f>
        <v>1.3303892844149567E-2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3.5" customHeight="1" x14ac:dyDescent="0.3">
      <c r="A5" s="220" t="s">
        <v>144</v>
      </c>
      <c r="B5" s="22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3.5" customHeight="1" x14ac:dyDescent="0.3">
      <c r="A6" s="220"/>
      <c r="B6" s="22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3.5" customHeight="1" x14ac:dyDescent="0.3">
      <c r="A7" s="21" t="s">
        <v>146</v>
      </c>
      <c r="B7" s="224">
        <v>2.9857000000000002E-2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3">
      <c r="A8" s="27" t="s">
        <v>147</v>
      </c>
      <c r="B8" s="226">
        <v>0.05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3.5" customHeight="1" x14ac:dyDescent="0.3">
      <c r="A9" s="103" t="s">
        <v>149</v>
      </c>
      <c r="B9" s="228">
        <v>0.25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3.5" customHeight="1" x14ac:dyDescent="0.3">
      <c r="A10" s="51" t="s">
        <v>150</v>
      </c>
      <c r="B10" s="231">
        <f>B7+(B8*B9)</f>
        <v>4.2357000000000006E-2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3.5" customHeight="1" x14ac:dyDescent="0.3">
      <c r="A11" s="232" t="s">
        <v>152</v>
      </c>
      <c r="B11" s="23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3.5" customHeight="1" x14ac:dyDescent="0.3">
      <c r="A12" s="234"/>
      <c r="B12" s="22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3.5" customHeight="1" x14ac:dyDescent="0.3">
      <c r="A13" s="51" t="s">
        <v>154</v>
      </c>
      <c r="B13" s="236">
        <v>0.02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5" customHeight="1" x14ac:dyDescent="0.3">
      <c r="A14" s="51" t="s">
        <v>155</v>
      </c>
      <c r="B14" s="231">
        <f>+(1+B10)/(1+B13)-1</f>
        <v>2.1918627450980388E-2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5" customHeight="1" x14ac:dyDescent="0.3">
      <c r="A15" s="220" t="s">
        <v>158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3.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3.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3.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3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3.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3.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3"/>
    <row r="222" spans="1:24" ht="15.75" customHeight="1" x14ac:dyDescent="0.3"/>
    <row r="223" spans="1:24" ht="15.75" customHeight="1" x14ac:dyDescent="0.3"/>
    <row r="224" spans="1: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A4:C4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defaultColWidth="12.625" defaultRowHeight="15" customHeight="1" x14ac:dyDescent="0.3"/>
  <cols>
    <col min="1" max="3" width="11.125" customWidth="1"/>
    <col min="4" max="24" width="5.625" customWidth="1"/>
    <col min="25" max="26" width="9.625" customWidth="1"/>
  </cols>
  <sheetData>
    <row r="1" spans="1:24" ht="13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1.75" customHeight="1" x14ac:dyDescent="0.3">
      <c r="A2" s="193"/>
      <c r="B2" s="196" t="s">
        <v>2</v>
      </c>
      <c r="C2" s="198" t="s">
        <v>35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4" ht="36.75" customHeight="1" x14ac:dyDescent="0.3">
      <c r="A3" s="202" t="s">
        <v>133</v>
      </c>
      <c r="B3" s="203">
        <v>1.5599999999999999E-2</v>
      </c>
      <c r="C3" s="204">
        <v>1.3299999999999999E-2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ht="36.75" customHeight="1" x14ac:dyDescent="0.3">
      <c r="A4" s="205" t="s">
        <v>135</v>
      </c>
      <c r="B4" s="206">
        <v>3.2800000000000003E-2</v>
      </c>
      <c r="C4" s="207">
        <v>3.4000000000000002E-2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1:24" ht="13.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3.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3.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6" customHeight="1" x14ac:dyDescent="0.3">
      <c r="A8" s="209"/>
      <c r="B8" s="211" t="s">
        <v>138</v>
      </c>
      <c r="C8" s="211" t="s">
        <v>139</v>
      </c>
      <c r="D8" s="213" t="s">
        <v>131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4" customHeight="1" x14ac:dyDescent="0.3">
      <c r="A9" s="199" t="s">
        <v>132</v>
      </c>
      <c r="B9" s="214">
        <f>CAPM!B3</f>
        <v>100</v>
      </c>
      <c r="C9" s="214">
        <f>CAPM!C3</f>
        <v>112</v>
      </c>
      <c r="D9" s="208">
        <f>CAPM!D3</f>
        <v>8.5749999999999993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3.75" customHeight="1" x14ac:dyDescent="0.3">
      <c r="A10" s="559" t="s">
        <v>137</v>
      </c>
      <c r="B10" s="560"/>
      <c r="C10" s="561"/>
      <c r="D10" s="218">
        <f>CAPM!D4</f>
        <v>1.3303892844149567E-2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3.5" customHeight="1" x14ac:dyDescent="0.3">
      <c r="A11" s="220" t="s">
        <v>144</v>
      </c>
      <c r="B11" s="22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3.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3.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3.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3.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3.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3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3.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3.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3"/>
    <row r="222" spans="1:24" ht="15.75" customHeight="1" x14ac:dyDescent="0.3"/>
    <row r="223" spans="1:24" ht="15.75" customHeight="1" x14ac:dyDescent="0.3"/>
    <row r="224" spans="1: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A10:C10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3"/>
  <cols>
    <col min="1" max="1" width="5.625" customWidth="1"/>
    <col min="2" max="2" width="25.625" customWidth="1"/>
    <col min="3" max="3" width="7" customWidth="1"/>
    <col min="4" max="4" width="5.625" customWidth="1"/>
    <col min="5" max="5" width="7" customWidth="1"/>
    <col min="6" max="6" width="5.625" customWidth="1"/>
    <col min="7" max="7" width="7" customWidth="1"/>
    <col min="8" max="26" width="5.625" customWidth="1"/>
  </cols>
  <sheetData>
    <row r="1" spans="1:26" ht="13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">
      <c r="A2" s="3"/>
      <c r="B2" s="562" t="s">
        <v>134</v>
      </c>
      <c r="C2" s="56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3">
      <c r="A3" s="3"/>
      <c r="B3" s="210" t="s">
        <v>136</v>
      </c>
      <c r="C3" s="212">
        <v>18000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75" customHeight="1" x14ac:dyDescent="0.3">
      <c r="A4" s="3"/>
      <c r="B4" s="210" t="s">
        <v>140</v>
      </c>
      <c r="C4" s="212">
        <v>6200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.75" customHeight="1" x14ac:dyDescent="0.3">
      <c r="A5" s="3"/>
      <c r="B5" s="210" t="s">
        <v>141</v>
      </c>
      <c r="C5" s="212">
        <v>1000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.75" customHeight="1" x14ac:dyDescent="0.3">
      <c r="A6" s="3"/>
      <c r="B6" s="215" t="s">
        <v>142</v>
      </c>
      <c r="C6" s="216">
        <v>557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 x14ac:dyDescent="0.3">
      <c r="A7" s="3"/>
      <c r="B7" s="217" t="s">
        <v>143</v>
      </c>
      <c r="C7" s="219">
        <f>SUM(C3:C6)</f>
        <v>25757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.2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 x14ac:dyDescent="0.3">
      <c r="A9" s="3"/>
      <c r="B9" s="221" t="s">
        <v>145</v>
      </c>
      <c r="C9" s="223">
        <v>4500</v>
      </c>
      <c r="D9" s="225">
        <f>C9/$C$7</f>
        <v>0.17470978763054704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 x14ac:dyDescent="0.3">
      <c r="A10" s="3"/>
      <c r="B10" s="227" t="s">
        <v>148</v>
      </c>
      <c r="C10" s="229">
        <v>371</v>
      </c>
      <c r="D10" s="230">
        <f>C10/$C$7</f>
        <v>1.4403851380207323E-2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.75" customHeight="1" x14ac:dyDescent="0.3">
      <c r="A11" s="3"/>
      <c r="B11" s="227" t="s">
        <v>151</v>
      </c>
      <c r="C11" s="229">
        <f>C9-C10</f>
        <v>4129</v>
      </c>
      <c r="D11" s="230">
        <f>C11/$C$7</f>
        <v>0.1603059362503397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.75" customHeight="1" x14ac:dyDescent="0.3">
      <c r="A12" s="3"/>
      <c r="B12" s="233" t="s">
        <v>153</v>
      </c>
      <c r="C12" s="216">
        <f>C7-C9</f>
        <v>21257</v>
      </c>
      <c r="D12" s="235">
        <f>C12/$C$7</f>
        <v>0.82529021236945299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3">
      <c r="A15" s="3"/>
      <c r="B15" s="237" t="s">
        <v>156</v>
      </c>
      <c r="C15" s="238" t="s">
        <v>157</v>
      </c>
      <c r="D15" s="239" t="s">
        <v>1</v>
      </c>
      <c r="E15" s="238" t="s">
        <v>159</v>
      </c>
      <c r="F15" s="239" t="s">
        <v>1</v>
      </c>
      <c r="G15" s="238" t="s">
        <v>160</v>
      </c>
      <c r="H15" s="240" t="s">
        <v>1</v>
      </c>
      <c r="I15" s="241" t="s">
        <v>161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 x14ac:dyDescent="0.3">
      <c r="A16" s="3"/>
      <c r="B16" s="69" t="s">
        <v>162</v>
      </c>
      <c r="C16" s="242">
        <v>22286</v>
      </c>
      <c r="D16" s="243">
        <f t="shared" ref="D16:D21" si="0">C16/C$16</f>
        <v>1</v>
      </c>
      <c r="E16" s="242">
        <v>21616</v>
      </c>
      <c r="F16" s="243">
        <f t="shared" ref="F16:F21" si="1">E16/E$16</f>
        <v>1</v>
      </c>
      <c r="G16" s="242">
        <v>20591</v>
      </c>
      <c r="H16" s="244">
        <f t="shared" ref="H16:H21" si="2">G16/G$16</f>
        <v>1</v>
      </c>
      <c r="I16" s="225">
        <f t="shared" ref="I16:I21" si="3">(G16/C16)^(1/3)-1</f>
        <v>-2.6023591773469468E-2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3">
      <c r="A17" s="3"/>
      <c r="B17" s="245" t="s">
        <v>163</v>
      </c>
      <c r="C17" s="246">
        <f>C16-C18</f>
        <v>5146</v>
      </c>
      <c r="D17" s="247">
        <f t="shared" si="0"/>
        <v>0.23090729606030691</v>
      </c>
      <c r="E17" s="246">
        <f>E16-E18</f>
        <v>4668</v>
      </c>
      <c r="F17" s="247">
        <f t="shared" si="1"/>
        <v>0.21595114729829756</v>
      </c>
      <c r="G17" s="246">
        <f>G16-G18</f>
        <v>4108</v>
      </c>
      <c r="H17" s="244">
        <f t="shared" si="2"/>
        <v>0.19950463794861834</v>
      </c>
      <c r="I17" s="248">
        <f t="shared" si="3"/>
        <v>-7.2344157105559637E-2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3">
      <c r="A18" s="3"/>
      <c r="B18" s="245" t="s">
        <v>164</v>
      </c>
      <c r="C18" s="246">
        <v>17140</v>
      </c>
      <c r="D18" s="247">
        <f t="shared" si="0"/>
        <v>0.76909270393969309</v>
      </c>
      <c r="E18" s="246">
        <v>16948</v>
      </c>
      <c r="F18" s="247">
        <f t="shared" si="1"/>
        <v>0.78404885270170244</v>
      </c>
      <c r="G18" s="246">
        <v>16483</v>
      </c>
      <c r="H18" s="244">
        <f t="shared" si="2"/>
        <v>0.80049536205138172</v>
      </c>
      <c r="I18" s="248">
        <f t="shared" si="3"/>
        <v>-1.2943952526506597E-2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 x14ac:dyDescent="0.3">
      <c r="A19" s="3"/>
      <c r="B19" s="249" t="s">
        <v>165</v>
      </c>
      <c r="C19" s="250">
        <f>C18-C20-C21</f>
        <v>5480</v>
      </c>
      <c r="D19" s="251">
        <f t="shared" si="0"/>
        <v>0.245894283406623</v>
      </c>
      <c r="E19" s="250">
        <f>E18-E20-E21</f>
        <v>5372</v>
      </c>
      <c r="F19" s="251">
        <f t="shared" si="1"/>
        <v>0.24851961509992598</v>
      </c>
      <c r="G19" s="250">
        <f>G18-G20-G21</f>
        <v>5078</v>
      </c>
      <c r="H19" s="252">
        <f t="shared" si="2"/>
        <v>0.24661259773687533</v>
      </c>
      <c r="I19" s="253">
        <f t="shared" si="3"/>
        <v>-2.5076109989698891E-2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 x14ac:dyDescent="0.3">
      <c r="A20" s="3"/>
      <c r="B20" s="249" t="s">
        <v>166</v>
      </c>
      <c r="C20" s="250">
        <v>6728</v>
      </c>
      <c r="D20" s="251">
        <f t="shared" si="0"/>
        <v>0.30189356546710938</v>
      </c>
      <c r="E20" s="250">
        <v>6626</v>
      </c>
      <c r="F20" s="251">
        <f t="shared" si="1"/>
        <v>0.30653219837157664</v>
      </c>
      <c r="G20" s="250">
        <v>6522</v>
      </c>
      <c r="H20" s="252">
        <f t="shared" si="2"/>
        <v>0.31674032344228059</v>
      </c>
      <c r="I20" s="253">
        <f t="shared" si="3"/>
        <v>-1.0312077256868557E-2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 x14ac:dyDescent="0.3">
      <c r="A21" s="3"/>
      <c r="B21" s="254" t="s">
        <v>167</v>
      </c>
      <c r="C21" s="255">
        <v>4932</v>
      </c>
      <c r="D21" s="256">
        <f t="shared" si="0"/>
        <v>0.2213048550659607</v>
      </c>
      <c r="E21" s="255">
        <v>4950</v>
      </c>
      <c r="F21" s="256">
        <f t="shared" si="1"/>
        <v>0.22899703923019984</v>
      </c>
      <c r="G21" s="255">
        <v>4883</v>
      </c>
      <c r="H21" s="257">
        <f t="shared" si="2"/>
        <v>0.23714244087222572</v>
      </c>
      <c r="I21" s="258">
        <f t="shared" si="3"/>
        <v>-3.3227342007341454E-3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2:C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3"/>
  <cols>
    <col min="1" max="1" width="5.625" customWidth="1"/>
    <col min="2" max="2" width="9.125" customWidth="1"/>
    <col min="3" max="3" width="7.125" customWidth="1"/>
    <col min="4" max="4" width="5.5" customWidth="1"/>
    <col min="5" max="5" width="7.125" customWidth="1"/>
    <col min="6" max="6" width="5.5" customWidth="1"/>
    <col min="7" max="7" width="5.625" customWidth="1"/>
    <col min="8" max="8" width="9.125" customWidth="1"/>
    <col min="9" max="9" width="7.125" customWidth="1"/>
    <col min="10" max="10" width="5.5" customWidth="1"/>
    <col min="11" max="11" width="7.125" customWidth="1"/>
    <col min="12" max="12" width="5.5" customWidth="1"/>
    <col min="13" max="26" width="5.625" customWidth="1"/>
  </cols>
  <sheetData>
    <row r="1" spans="1:26" ht="13.5" customHeight="1" x14ac:dyDescent="0.3">
      <c r="A1" s="3"/>
      <c r="B1" s="3" t="s">
        <v>181</v>
      </c>
      <c r="C1" s="3"/>
      <c r="D1" s="3"/>
      <c r="E1" s="3"/>
      <c r="F1" s="3"/>
      <c r="G1" s="3"/>
      <c r="H1" s="302" t="s">
        <v>182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3.5" customHeight="1" x14ac:dyDescent="0.3">
      <c r="A2" s="3"/>
      <c r="B2" s="303"/>
      <c r="C2" s="264" t="s">
        <v>2</v>
      </c>
      <c r="D2" s="304" t="s">
        <v>183</v>
      </c>
      <c r="E2" s="264" t="s">
        <v>35</v>
      </c>
      <c r="F2" s="305" t="s">
        <v>184</v>
      </c>
      <c r="G2" s="3"/>
      <c r="H2" s="303"/>
      <c r="I2" s="264" t="s">
        <v>2</v>
      </c>
      <c r="J2" s="304" t="s">
        <v>185</v>
      </c>
      <c r="K2" s="264" t="s">
        <v>35</v>
      </c>
      <c r="L2" s="305" t="s">
        <v>186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6.25" customHeight="1" x14ac:dyDescent="0.3">
      <c r="A3" s="3"/>
      <c r="B3" s="306" t="s">
        <v>187</v>
      </c>
      <c r="C3" s="273">
        <v>32104740.479426514</v>
      </c>
      <c r="D3" s="307" t="e">
        <f>(C3-$E$7)/$E$7</f>
        <v>#REF!</v>
      </c>
      <c r="E3" s="273">
        <v>31515334.853710733</v>
      </c>
      <c r="F3" s="275" t="e">
        <f>(E3-$E$7)/$E$7</f>
        <v>#REF!</v>
      </c>
      <c r="G3" s="3"/>
      <c r="H3" s="306" t="s">
        <v>187</v>
      </c>
      <c r="I3" s="273">
        <v>31727877.746064115</v>
      </c>
      <c r="J3" s="307" t="e">
        <f>(I3-$K$7)/$K$7</f>
        <v>#REF!</v>
      </c>
      <c r="K3" s="273">
        <v>31132507.604238465</v>
      </c>
      <c r="L3" s="275" t="e">
        <f>(K3-$K$7)/$K$7</f>
        <v>#REF!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 x14ac:dyDescent="0.3">
      <c r="A4" s="3"/>
      <c r="B4" s="306" t="s">
        <v>188</v>
      </c>
      <c r="C4" s="273">
        <v>33169048.52890151</v>
      </c>
      <c r="D4" s="307" t="e">
        <f>(C4-$E$7)/$E$7</f>
        <v>#REF!</v>
      </c>
      <c r="E4" s="273">
        <v>32765955.981523264</v>
      </c>
      <c r="F4" s="275" t="e">
        <f>(E4-$E$7)/$E$7</f>
        <v>#REF!</v>
      </c>
      <c r="G4" s="3"/>
      <c r="H4" s="306" t="s">
        <v>188</v>
      </c>
      <c r="I4" s="273">
        <v>32911313.358799431</v>
      </c>
      <c r="J4" s="307" t="e">
        <f>(I4-$K$7)/$K$7</f>
        <v>#REF!</v>
      </c>
      <c r="K4" s="273">
        <v>32504141.698688447</v>
      </c>
      <c r="L4" s="275" t="e">
        <f>(K4-$K$7)/$K$7</f>
        <v>#REF!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6.25" customHeight="1" x14ac:dyDescent="0.3">
      <c r="A5" s="3"/>
      <c r="B5" s="285" t="s">
        <v>189</v>
      </c>
      <c r="C5" s="279">
        <v>33374324.164917424</v>
      </c>
      <c r="D5" s="308" t="e">
        <f>(C5-$E$7)/$E$7</f>
        <v>#REF!</v>
      </c>
      <c r="E5" s="279">
        <v>33007166.266039383</v>
      </c>
      <c r="F5" s="281" t="e">
        <f>(E5-$E$7)/$E$7</f>
        <v>#REF!</v>
      </c>
      <c r="G5" s="3"/>
      <c r="H5" s="285" t="s">
        <v>189</v>
      </c>
      <c r="I5" s="279">
        <v>33139565.412523881</v>
      </c>
      <c r="J5" s="308" t="e">
        <f>(I5-$K$7)/$K$7</f>
        <v>#REF!</v>
      </c>
      <c r="K5" s="279">
        <v>32768692.043166466</v>
      </c>
      <c r="L5" s="281" t="e">
        <f>(K5-$K$7)/$K$7</f>
        <v>#REF!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.7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2.5" customHeight="1" x14ac:dyDescent="0.3">
      <c r="A7" s="3"/>
      <c r="B7" s="565" t="s">
        <v>190</v>
      </c>
      <c r="C7" s="560"/>
      <c r="D7" s="561"/>
      <c r="E7" s="564" t="e">
        <f>#REF!</f>
        <v>#REF!</v>
      </c>
      <c r="F7" s="563"/>
      <c r="G7" s="3"/>
      <c r="H7" s="565" t="s">
        <v>190</v>
      </c>
      <c r="I7" s="560"/>
      <c r="J7" s="561"/>
      <c r="K7" s="564" t="e">
        <f>#REF!</f>
        <v>#REF!</v>
      </c>
      <c r="L7" s="56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E7:F7"/>
    <mergeCell ref="B7:D7"/>
    <mergeCell ref="K7:L7"/>
    <mergeCell ref="H7:J7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0"/>
  <sheetViews>
    <sheetView workbookViewId="0"/>
  </sheetViews>
  <sheetFormatPr defaultColWidth="12.625" defaultRowHeight="15" customHeight="1" x14ac:dyDescent="0.3"/>
  <cols>
    <col min="1" max="1" width="1.125" customWidth="1"/>
    <col min="2" max="2" width="1.625" customWidth="1"/>
    <col min="3" max="3" width="23.5" customWidth="1"/>
    <col min="4" max="7" width="13.625" customWidth="1"/>
    <col min="8" max="8" width="5.625" customWidth="1"/>
    <col min="9" max="26" width="9.625" customWidth="1"/>
  </cols>
  <sheetData>
    <row r="1" spans="2:8" ht="13.5" customHeight="1" x14ac:dyDescent="0.3"/>
    <row r="2" spans="2:8" ht="13.5" customHeight="1" x14ac:dyDescent="0.3">
      <c r="B2" s="259"/>
      <c r="C2" s="260"/>
      <c r="D2" s="260"/>
      <c r="E2" s="260"/>
      <c r="F2" s="260"/>
      <c r="G2" s="260"/>
      <c r="H2" s="261"/>
    </row>
    <row r="3" spans="2:8" ht="13.5" customHeight="1" x14ac:dyDescent="0.3">
      <c r="B3" s="262"/>
      <c r="C3" s="263" t="s">
        <v>168</v>
      </c>
      <c r="D3" s="264" t="s">
        <v>2</v>
      </c>
      <c r="E3" s="265" t="s">
        <v>1</v>
      </c>
      <c r="F3" s="264" t="s">
        <v>35</v>
      </c>
      <c r="G3" s="266" t="s">
        <v>1</v>
      </c>
      <c r="H3" s="267"/>
    </row>
    <row r="4" spans="2:8" ht="13.5" customHeight="1" x14ac:dyDescent="0.3">
      <c r="B4" s="262"/>
      <c r="C4" s="268" t="s">
        <v>169</v>
      </c>
      <c r="D4" s="269">
        <v>129888130.72834502</v>
      </c>
      <c r="E4" s="270">
        <v>1</v>
      </c>
      <c r="F4" s="269">
        <v>127864450.72834502</v>
      </c>
      <c r="G4" s="271">
        <v>1</v>
      </c>
      <c r="H4" s="267"/>
    </row>
    <row r="5" spans="2:8" ht="13.5" customHeight="1" x14ac:dyDescent="0.3">
      <c r="B5" s="262"/>
      <c r="C5" s="272" t="s">
        <v>170</v>
      </c>
      <c r="D5" s="273">
        <v>35471703</v>
      </c>
      <c r="E5" s="274">
        <v>0.2730942604308273</v>
      </c>
      <c r="F5" s="273">
        <v>35471703</v>
      </c>
      <c r="G5" s="275">
        <v>0.27741645780312746</v>
      </c>
      <c r="H5" s="267"/>
    </row>
    <row r="6" spans="2:8" ht="13.5" customHeight="1" x14ac:dyDescent="0.3">
      <c r="B6" s="262"/>
      <c r="C6" s="276" t="s">
        <v>171</v>
      </c>
      <c r="D6" s="277">
        <v>7000000</v>
      </c>
      <c r="E6" s="274">
        <v>0.13654713021541365</v>
      </c>
      <c r="F6" s="273">
        <v>17735851.5</v>
      </c>
      <c r="G6" s="275">
        <v>0.13870822890156373</v>
      </c>
      <c r="H6" s="267"/>
    </row>
    <row r="7" spans="2:8" ht="13.5" customHeight="1" x14ac:dyDescent="0.3">
      <c r="B7" s="262"/>
      <c r="C7" s="278" t="s">
        <v>172</v>
      </c>
      <c r="D7" s="279">
        <v>17735851.5</v>
      </c>
      <c r="E7" s="280">
        <v>0.13654713021541365</v>
      </c>
      <c r="F7" s="279">
        <v>17735851.5</v>
      </c>
      <c r="G7" s="281">
        <v>0.13870822890156373</v>
      </c>
      <c r="H7" s="267"/>
    </row>
    <row r="8" spans="2:8" ht="13.5" customHeight="1" x14ac:dyDescent="0.3">
      <c r="B8" s="262"/>
      <c r="C8" s="282"/>
      <c r="D8" s="273"/>
      <c r="E8" s="274"/>
      <c r="F8" s="273"/>
      <c r="G8" s="283"/>
      <c r="H8" s="267"/>
    </row>
    <row r="9" spans="2:8" ht="13.5" customHeight="1" x14ac:dyDescent="0.3">
      <c r="B9" s="262"/>
      <c r="C9" s="268" t="s">
        <v>173</v>
      </c>
      <c r="D9" s="269">
        <v>68766117.51515007</v>
      </c>
      <c r="E9" s="270"/>
      <c r="F9" s="269">
        <v>73198491.330213159</v>
      </c>
      <c r="G9" s="271"/>
      <c r="H9" s="267"/>
    </row>
    <row r="10" spans="2:8" ht="13.5" customHeight="1" x14ac:dyDescent="0.3">
      <c r="B10" s="262"/>
      <c r="C10" s="272" t="s">
        <v>174</v>
      </c>
      <c r="D10" s="273">
        <v>-61122013.213194959</v>
      </c>
      <c r="E10" s="274"/>
      <c r="F10" s="273">
        <v>-54665959.398131862</v>
      </c>
      <c r="G10" s="275"/>
      <c r="H10" s="267"/>
    </row>
    <row r="11" spans="2:8" ht="13.5" customHeight="1" x14ac:dyDescent="0.3">
      <c r="B11" s="262"/>
      <c r="C11" s="284" t="s">
        <v>175</v>
      </c>
      <c r="D11" s="279">
        <v>-8346035.497250366</v>
      </c>
      <c r="E11" s="280"/>
      <c r="F11" s="279">
        <v>-7582618.4093196634</v>
      </c>
      <c r="G11" s="281"/>
      <c r="H11" s="267"/>
    </row>
    <row r="12" spans="2:8" ht="13.5" customHeight="1" x14ac:dyDescent="0.3">
      <c r="B12" s="262"/>
      <c r="C12" s="282"/>
      <c r="D12" s="273"/>
      <c r="E12" s="274"/>
      <c r="F12" s="273"/>
      <c r="G12" s="283"/>
      <c r="H12" s="267"/>
    </row>
    <row r="13" spans="2:8" ht="13.5" customHeight="1" x14ac:dyDescent="0.3">
      <c r="B13" s="262"/>
      <c r="C13" s="263" t="s">
        <v>168</v>
      </c>
      <c r="D13" s="264" t="s">
        <v>2</v>
      </c>
      <c r="E13" s="265" t="s">
        <v>176</v>
      </c>
      <c r="F13" s="264" t="s">
        <v>35</v>
      </c>
      <c r="G13" s="266" t="s">
        <v>176</v>
      </c>
      <c r="H13" s="267"/>
    </row>
    <row r="14" spans="2:8" ht="13.5" customHeight="1" x14ac:dyDescent="0.3">
      <c r="B14" s="262"/>
      <c r="C14" s="285" t="s">
        <v>177</v>
      </c>
      <c r="D14" s="279">
        <v>27125667.502749633</v>
      </c>
      <c r="E14" s="280">
        <v>-0.23528713851856414</v>
      </c>
      <c r="F14" s="279">
        <v>27889084.590680338</v>
      </c>
      <c r="G14" s="281">
        <v>-0.21376527677060392</v>
      </c>
      <c r="H14" s="267"/>
    </row>
    <row r="15" spans="2:8" ht="13.5" customHeight="1" x14ac:dyDescent="0.3">
      <c r="B15" s="262"/>
      <c r="C15" s="282"/>
      <c r="D15" s="273"/>
      <c r="E15" s="274"/>
      <c r="F15" s="273"/>
      <c r="G15" s="270"/>
      <c r="H15" s="267"/>
    </row>
    <row r="16" spans="2:8" ht="13.5" customHeight="1" x14ac:dyDescent="0.3">
      <c r="B16" s="262"/>
      <c r="C16" s="286" t="s">
        <v>178</v>
      </c>
      <c r="D16" s="273"/>
      <c r="E16" s="274"/>
      <c r="F16" s="273"/>
      <c r="G16" s="274"/>
      <c r="H16" s="267"/>
    </row>
    <row r="17" spans="2:8" ht="13.5" customHeight="1" x14ac:dyDescent="0.3">
      <c r="B17" s="287"/>
      <c r="C17" s="288"/>
      <c r="D17" s="279"/>
      <c r="E17" s="280"/>
      <c r="F17" s="279"/>
      <c r="G17" s="280"/>
      <c r="H17" s="289"/>
    </row>
    <row r="18" spans="2:8" ht="13.5" customHeight="1" x14ac:dyDescent="0.3">
      <c r="B18" s="262"/>
      <c r="C18" s="234"/>
      <c r="D18" s="290"/>
      <c r="E18" s="291"/>
      <c r="F18" s="290"/>
      <c r="G18" s="291"/>
      <c r="H18" s="267"/>
    </row>
    <row r="19" spans="2:8" ht="13.5" customHeight="1" x14ac:dyDescent="0.3">
      <c r="B19" s="262"/>
      <c r="C19" s="263" t="s">
        <v>179</v>
      </c>
      <c r="D19" s="264" t="s">
        <v>2</v>
      </c>
      <c r="E19" s="265" t="s">
        <v>1</v>
      </c>
      <c r="F19" s="264" t="s">
        <v>35</v>
      </c>
      <c r="G19" s="266" t="s">
        <v>1</v>
      </c>
      <c r="H19" s="267"/>
    </row>
    <row r="20" spans="2:8" ht="13.5" customHeight="1" x14ac:dyDescent="0.3">
      <c r="B20" s="262"/>
      <c r="C20" s="268" t="s">
        <v>169</v>
      </c>
      <c r="D20" s="269">
        <v>129888130.72834502</v>
      </c>
      <c r="E20" s="270">
        <v>1</v>
      </c>
      <c r="F20" s="269">
        <v>127864450.72834502</v>
      </c>
      <c r="G20" s="271">
        <v>1</v>
      </c>
      <c r="H20" s="267"/>
    </row>
    <row r="21" spans="2:8" ht="13.5" customHeight="1" x14ac:dyDescent="0.3">
      <c r="B21" s="262"/>
      <c r="C21" s="272" t="s">
        <v>170</v>
      </c>
      <c r="D21" s="273">
        <v>35471703</v>
      </c>
      <c r="E21" s="274">
        <v>0.2730942604308273</v>
      </c>
      <c r="F21" s="273">
        <v>35471703</v>
      </c>
      <c r="G21" s="275">
        <v>0.27741645780312746</v>
      </c>
      <c r="H21" s="267"/>
    </row>
    <row r="22" spans="2:8" ht="13.5" customHeight="1" x14ac:dyDescent="0.3">
      <c r="B22" s="262"/>
      <c r="C22" s="276" t="s">
        <v>171</v>
      </c>
      <c r="D22" s="273">
        <v>17735851.5</v>
      </c>
      <c r="E22" s="274">
        <v>0.13654713021541365</v>
      </c>
      <c r="F22" s="273">
        <v>17735851.5</v>
      </c>
      <c r="G22" s="275">
        <v>0.13870822890156373</v>
      </c>
      <c r="H22" s="267"/>
    </row>
    <row r="23" spans="2:8" ht="13.5" customHeight="1" x14ac:dyDescent="0.3">
      <c r="B23" s="262"/>
      <c r="C23" s="278" t="s">
        <v>172</v>
      </c>
      <c r="D23" s="279">
        <v>17735851.5</v>
      </c>
      <c r="E23" s="280">
        <v>0.13654713021541365</v>
      </c>
      <c r="F23" s="279">
        <v>17735851.5</v>
      </c>
      <c r="G23" s="281">
        <v>0.13870822890156373</v>
      </c>
      <c r="H23" s="267"/>
    </row>
    <row r="24" spans="2:8" ht="13.5" customHeight="1" x14ac:dyDescent="0.3">
      <c r="B24" s="262"/>
      <c r="C24" s="292"/>
      <c r="D24" s="293"/>
      <c r="E24" s="294"/>
      <c r="F24" s="293"/>
      <c r="G24" s="295"/>
      <c r="H24" s="267"/>
    </row>
    <row r="25" spans="2:8" ht="13.5" customHeight="1" x14ac:dyDescent="0.3">
      <c r="B25" s="262"/>
      <c r="C25" s="268" t="s">
        <v>173</v>
      </c>
      <c r="D25" s="269">
        <v>112808770.77550681</v>
      </c>
      <c r="E25" s="270"/>
      <c r="F25" s="269">
        <v>108377424.05199862</v>
      </c>
      <c r="G25" s="271"/>
      <c r="H25" s="267"/>
    </row>
    <row r="26" spans="2:8" ht="13.5" customHeight="1" x14ac:dyDescent="0.3">
      <c r="B26" s="262"/>
      <c r="C26" s="272" t="s">
        <v>174</v>
      </c>
      <c r="D26" s="273">
        <v>-17079359.952838212</v>
      </c>
      <c r="E26" s="274"/>
      <c r="F26" s="273">
        <v>-19487026.676346406</v>
      </c>
      <c r="G26" s="275"/>
      <c r="H26" s="267"/>
    </row>
    <row r="27" spans="2:8" ht="13.5" customHeight="1" x14ac:dyDescent="0.3">
      <c r="B27" s="262"/>
      <c r="C27" s="284" t="s">
        <v>175</v>
      </c>
      <c r="D27" s="279">
        <v>-2332137.5874761203</v>
      </c>
      <c r="E27" s="280"/>
      <c r="F27" s="279">
        <v>-2703010.9568335358</v>
      </c>
      <c r="G27" s="281"/>
      <c r="H27" s="267"/>
    </row>
    <row r="28" spans="2:8" ht="13.5" customHeight="1" x14ac:dyDescent="0.3">
      <c r="B28" s="262"/>
      <c r="C28" s="292"/>
      <c r="D28" s="293"/>
      <c r="E28" s="294"/>
      <c r="F28" s="293"/>
      <c r="G28" s="295"/>
      <c r="H28" s="267"/>
    </row>
    <row r="29" spans="2:8" ht="13.5" customHeight="1" x14ac:dyDescent="0.3">
      <c r="B29" s="262"/>
      <c r="C29" s="263" t="s">
        <v>179</v>
      </c>
      <c r="D29" s="264" t="s">
        <v>2</v>
      </c>
      <c r="E29" s="265" t="s">
        <v>176</v>
      </c>
      <c r="F29" s="264" t="s">
        <v>35</v>
      </c>
      <c r="G29" s="266" t="s">
        <v>176</v>
      </c>
      <c r="H29" s="267"/>
    </row>
    <row r="30" spans="2:8" ht="13.5" customHeight="1" x14ac:dyDescent="0.3">
      <c r="B30" s="262"/>
      <c r="C30" s="285" t="s">
        <v>177</v>
      </c>
      <c r="D30" s="279">
        <v>33139565.412523881</v>
      </c>
      <c r="E30" s="280">
        <v>-6.5746422929739784E-2</v>
      </c>
      <c r="F30" s="279">
        <v>32768692.043166466</v>
      </c>
      <c r="G30" s="281">
        <v>-7.6201894136109963E-2</v>
      </c>
      <c r="H30" s="267"/>
    </row>
    <row r="31" spans="2:8" ht="13.5" customHeight="1" x14ac:dyDescent="0.3">
      <c r="B31" s="262"/>
      <c r="C31" s="292"/>
      <c r="D31" s="293"/>
      <c r="E31" s="294"/>
      <c r="F31" s="293"/>
      <c r="G31" s="296"/>
      <c r="H31" s="267"/>
    </row>
    <row r="32" spans="2:8" ht="13.5" customHeight="1" x14ac:dyDescent="0.3">
      <c r="B32" s="262"/>
      <c r="C32" s="292" t="s">
        <v>180</v>
      </c>
      <c r="D32" s="293"/>
      <c r="E32" s="294"/>
      <c r="F32" s="293"/>
      <c r="G32" s="294"/>
      <c r="H32" s="267"/>
    </row>
    <row r="33" spans="2:8" ht="13.5" customHeight="1" x14ac:dyDescent="0.3">
      <c r="B33" s="297"/>
      <c r="C33" s="298"/>
      <c r="D33" s="299"/>
      <c r="E33" s="300"/>
      <c r="F33" s="299"/>
      <c r="G33" s="300"/>
      <c r="H33" s="301"/>
    </row>
    <row r="34" spans="2:8" ht="13.5" customHeight="1" x14ac:dyDescent="0.3"/>
    <row r="35" spans="2:8" ht="13.5" customHeight="1" x14ac:dyDescent="0.3"/>
    <row r="36" spans="2:8" ht="13.5" customHeight="1" x14ac:dyDescent="0.3"/>
    <row r="37" spans="2:8" ht="13.5" customHeight="1" x14ac:dyDescent="0.3"/>
    <row r="38" spans="2:8" ht="13.5" customHeight="1" x14ac:dyDescent="0.3"/>
    <row r="39" spans="2:8" ht="13.5" customHeight="1" x14ac:dyDescent="0.3"/>
    <row r="40" spans="2:8" ht="13.5" customHeight="1" x14ac:dyDescent="0.3"/>
    <row r="41" spans="2:8" ht="13.5" customHeight="1" x14ac:dyDescent="0.3"/>
    <row r="42" spans="2:8" ht="13.5" customHeight="1" x14ac:dyDescent="0.3"/>
    <row r="43" spans="2:8" ht="13.5" customHeight="1" x14ac:dyDescent="0.3"/>
    <row r="44" spans="2:8" ht="13.5" customHeight="1" x14ac:dyDescent="0.3"/>
    <row r="45" spans="2:8" ht="13.5" customHeight="1" x14ac:dyDescent="0.3"/>
    <row r="46" spans="2:8" ht="13.5" customHeight="1" x14ac:dyDescent="0.3"/>
    <row r="47" spans="2:8" ht="13.5" customHeight="1" x14ac:dyDescent="0.3"/>
    <row r="48" spans="2: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0"/>
  <sheetViews>
    <sheetView tabSelected="1" topLeftCell="A13" zoomScale="112" workbookViewId="0">
      <selection activeCell="B26" sqref="B26"/>
    </sheetView>
  </sheetViews>
  <sheetFormatPr defaultColWidth="12.625" defaultRowHeight="15" customHeight="1" x14ac:dyDescent="0.3"/>
  <cols>
    <col min="1" max="1" width="43.125" bestFit="1" customWidth="1"/>
    <col min="2" max="2" width="11" customWidth="1"/>
    <col min="3" max="6" width="10.125" customWidth="1"/>
    <col min="7" max="7" width="7.625" customWidth="1"/>
    <col min="8" max="24" width="5.625" customWidth="1"/>
    <col min="25" max="26" width="9.625" customWidth="1"/>
  </cols>
  <sheetData>
    <row r="1" spans="1:24" ht="22.5" customHeight="1" x14ac:dyDescent="0.3">
      <c r="A1" s="542" t="s">
        <v>226</v>
      </c>
      <c r="B1" s="542"/>
      <c r="C1" s="542"/>
      <c r="D1" s="542"/>
      <c r="E1" s="542"/>
      <c r="F1" s="542"/>
      <c r="G1" s="542"/>
    </row>
    <row r="2" spans="1:24" ht="15" customHeight="1" x14ac:dyDescent="0.3">
      <c r="A2" s="5"/>
      <c r="B2" s="5"/>
      <c r="C2" s="5"/>
      <c r="D2" s="5"/>
    </row>
    <row r="3" spans="1:24" ht="35.25" customHeight="1" x14ac:dyDescent="0.3">
      <c r="A3" s="534" t="s">
        <v>227</v>
      </c>
      <c r="B3" s="534"/>
      <c r="C3" s="534"/>
      <c r="D3" s="534"/>
      <c r="E3" s="534"/>
      <c r="F3" s="534"/>
      <c r="G3" s="534"/>
    </row>
    <row r="5" spans="1:24" ht="13.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3.5" customHeight="1" x14ac:dyDescent="0.3">
      <c r="A6" s="6" t="s">
        <v>0</v>
      </c>
      <c r="B6" s="7"/>
      <c r="C6" s="7"/>
      <c r="D6" s="7"/>
      <c r="E6" s="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3.5" customHeight="1" x14ac:dyDescent="0.3">
      <c r="A7" s="9"/>
      <c r="B7" s="10"/>
      <c r="C7" s="11" t="s">
        <v>1</v>
      </c>
      <c r="D7" s="18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3">
      <c r="A8" s="21" t="s">
        <v>6</v>
      </c>
      <c r="B8" s="22">
        <f>B14</f>
        <v>21</v>
      </c>
      <c r="C8" s="23">
        <f>B8/$B$10</f>
        <v>9.1703056768558958E-2</v>
      </c>
      <c r="D8" s="25"/>
      <c r="E8" s="1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3.5" customHeight="1" x14ac:dyDescent="0.3">
      <c r="A9" s="27" t="s">
        <v>8</v>
      </c>
      <c r="B9" s="29">
        <f>+B23*2</f>
        <v>208</v>
      </c>
      <c r="C9" s="30">
        <f>B9/$B$10</f>
        <v>0.90829694323144106</v>
      </c>
      <c r="D9" s="25"/>
      <c r="E9" s="1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3.5" customHeight="1" x14ac:dyDescent="0.3">
      <c r="A10" s="31" t="s">
        <v>9</v>
      </c>
      <c r="B10" s="33">
        <f>B8+B9</f>
        <v>229</v>
      </c>
      <c r="C10" s="34"/>
      <c r="D10" s="25"/>
      <c r="E10" s="1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3.5" customHeight="1" x14ac:dyDescent="0.3">
      <c r="A11" s="36"/>
      <c r="B11" s="37"/>
      <c r="C11" s="38"/>
      <c r="D11" s="25"/>
      <c r="E11" s="1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3.5" customHeight="1" x14ac:dyDescent="0.3">
      <c r="A12" s="9"/>
      <c r="B12" s="40"/>
      <c r="C12" s="41"/>
      <c r="D12" s="43" t="s">
        <v>12</v>
      </c>
      <c r="E12" s="1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3.5" customHeight="1" x14ac:dyDescent="0.3">
      <c r="A13" s="9"/>
      <c r="B13" s="10"/>
      <c r="C13" s="11" t="s">
        <v>1</v>
      </c>
      <c r="D13" s="90"/>
      <c r="E13" s="1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5" customHeight="1" x14ac:dyDescent="0.3">
      <c r="A14" s="46" t="s">
        <v>13</v>
      </c>
      <c r="B14" s="33">
        <f>'Variabili per unità misura'!B35</f>
        <v>21</v>
      </c>
      <c r="C14" s="50"/>
      <c r="D14" s="380">
        <f>SUM(D15:D19)</f>
        <v>0</v>
      </c>
      <c r="E14" s="19"/>
      <c r="F14" s="3"/>
      <c r="G14" s="8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5" customHeight="1" x14ac:dyDescent="0.3">
      <c r="A15" s="57" t="s">
        <v>196</v>
      </c>
      <c r="B15" s="22" t="s">
        <v>10</v>
      </c>
      <c r="C15" s="467" t="s">
        <v>10</v>
      </c>
      <c r="D15" s="375"/>
      <c r="E15" s="19"/>
      <c r="F15" s="3"/>
      <c r="G15" s="312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"/>
      <c r="X15" s="3"/>
    </row>
    <row r="16" spans="1:24" ht="13.5" customHeight="1" x14ac:dyDescent="0.3">
      <c r="A16" s="313" t="s">
        <v>194</v>
      </c>
      <c r="B16" s="527">
        <v>10</v>
      </c>
      <c r="C16" s="528">
        <f>B16/$B$19</f>
        <v>0.47619047619047616</v>
      </c>
      <c r="D16" s="64">
        <f>B16*'Variabili per unità misura'!E54*B43</f>
        <v>0</v>
      </c>
      <c r="E16" s="19"/>
      <c r="F16" s="311"/>
      <c r="G16" s="312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</row>
    <row r="17" spans="1:24" ht="13.5" customHeight="1" x14ac:dyDescent="0.3">
      <c r="A17" s="313" t="s">
        <v>195</v>
      </c>
      <c r="B17" s="527">
        <v>7</v>
      </c>
      <c r="C17" s="528">
        <f>B17/$B$19</f>
        <v>0.33333333333333331</v>
      </c>
      <c r="D17" s="64">
        <f>B17*'Variabili per unità misura'!E58*B44</f>
        <v>0</v>
      </c>
      <c r="E17" s="19"/>
      <c r="F17" s="3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11"/>
      <c r="X17" s="311"/>
    </row>
    <row r="18" spans="1:24" ht="13.5" customHeight="1" x14ac:dyDescent="0.3">
      <c r="A18" s="65" t="s">
        <v>16</v>
      </c>
      <c r="B18" s="529">
        <v>4</v>
      </c>
      <c r="C18" s="528">
        <f>B18/$B$19</f>
        <v>0.19047619047619047</v>
      </c>
      <c r="D18" s="64">
        <f>B18*'Variabili per unità misura'!E62*B45</f>
        <v>0</v>
      </c>
      <c r="E18" s="19"/>
      <c r="F18" s="3"/>
      <c r="G18" s="8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 customHeight="1" x14ac:dyDescent="0.3">
      <c r="A19" s="70" t="s">
        <v>19</v>
      </c>
      <c r="B19" s="530">
        <v>21</v>
      </c>
      <c r="C19" s="531">
        <v>1</v>
      </c>
      <c r="D19" s="73">
        <f>B19*B46*'Variabili per unità misura'!E66</f>
        <v>0</v>
      </c>
      <c r="E19" s="1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 customHeight="1" x14ac:dyDescent="0.3">
      <c r="A20" s="74"/>
      <c r="B20" s="25"/>
      <c r="C20" s="75"/>
      <c r="D20" s="25"/>
      <c r="E20" s="1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 customHeight="1" x14ac:dyDescent="0.3">
      <c r="A21" s="74"/>
      <c r="B21" s="25"/>
      <c r="C21" s="75"/>
      <c r="D21" s="78" t="s">
        <v>12</v>
      </c>
      <c r="E21" s="19"/>
      <c r="F21" s="3"/>
      <c r="G21" s="8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customHeight="1" x14ac:dyDescent="0.3">
      <c r="A22" s="9"/>
      <c r="B22" s="10"/>
      <c r="C22" s="11" t="s">
        <v>1</v>
      </c>
      <c r="D22" s="90"/>
      <c r="E22" s="1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 customHeight="1" x14ac:dyDescent="0.3">
      <c r="A23" s="46" t="s">
        <v>23</v>
      </c>
      <c r="B23" s="33">
        <f>'Variabili per unità misura'!B38</f>
        <v>104</v>
      </c>
      <c r="C23" s="50"/>
      <c r="D23" s="380">
        <f>SUM(D24:D28)</f>
        <v>0</v>
      </c>
      <c r="E23" s="19"/>
      <c r="F23" s="3"/>
      <c r="G23" s="8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 x14ac:dyDescent="0.3">
      <c r="A24" s="57" t="s">
        <v>196</v>
      </c>
      <c r="B24" s="39" t="s">
        <v>10</v>
      </c>
      <c r="C24" s="467" t="s">
        <v>10</v>
      </c>
      <c r="D24" s="375"/>
      <c r="E24" s="1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 x14ac:dyDescent="0.3">
      <c r="A25" s="313" t="s">
        <v>194</v>
      </c>
      <c r="B25" s="532">
        <v>64</v>
      </c>
      <c r="C25" s="528">
        <f>B25/$B$28</f>
        <v>0.61538461538461542</v>
      </c>
      <c r="D25" s="375">
        <f>B25*B43*'Variabili per unità misura'!E55</f>
        <v>0</v>
      </c>
      <c r="E25" s="19"/>
      <c r="F25" s="43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11"/>
      <c r="X25" s="311"/>
    </row>
    <row r="26" spans="1:24" ht="13.5" customHeight="1" x14ac:dyDescent="0.3">
      <c r="A26" s="313" t="s">
        <v>195</v>
      </c>
      <c r="B26" s="532">
        <v>38</v>
      </c>
      <c r="C26" s="528">
        <f>B26/$B$28</f>
        <v>0.36538461538461536</v>
      </c>
      <c r="D26" s="375">
        <f>B26*2*B44*'Variabili per unità misura'!E59</f>
        <v>0</v>
      </c>
      <c r="E26" s="19"/>
      <c r="F26" s="31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11"/>
      <c r="X26" s="311"/>
    </row>
    <row r="27" spans="1:24" ht="13.5" customHeight="1" x14ac:dyDescent="0.3">
      <c r="A27" s="65" t="s">
        <v>16</v>
      </c>
      <c r="B27" s="529">
        <v>2</v>
      </c>
      <c r="C27" s="528">
        <f>B27/$B$28</f>
        <v>1.9230769230769232E-2</v>
      </c>
      <c r="D27" s="64">
        <f>B27*2*B45*'Variabili per unità misura'!E63</f>
        <v>0</v>
      </c>
      <c r="E27" s="1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 x14ac:dyDescent="0.3">
      <c r="A28" s="70" t="s">
        <v>19</v>
      </c>
      <c r="B28" s="533">
        <v>104</v>
      </c>
      <c r="C28" s="531">
        <v>1</v>
      </c>
      <c r="D28" s="73">
        <f>B28*B46*'Variabili per unità misura'!E67</f>
        <v>0</v>
      </c>
      <c r="E28" s="1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5" customHeight="1" x14ac:dyDescent="0.3">
      <c r="A29" s="82"/>
      <c r="B29" s="84"/>
      <c r="C29" s="85"/>
      <c r="D29" s="86"/>
      <c r="E29" s="8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 customHeight="1" x14ac:dyDescent="0.3">
      <c r="A30" s="83"/>
      <c r="B30" s="3"/>
      <c r="C30" s="77"/>
      <c r="D30" s="8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3.5" customHeight="1" x14ac:dyDescent="0.3">
      <c r="A31" s="83"/>
      <c r="B31" s="3"/>
      <c r="C31" s="77"/>
      <c r="D31" s="3"/>
      <c r="E31" s="77"/>
      <c r="F31" s="89"/>
      <c r="G31" s="8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3.5" customHeight="1" x14ac:dyDescent="0.3">
      <c r="A32" s="3"/>
      <c r="B32" s="71"/>
      <c r="C32" s="96"/>
      <c r="D32" s="3"/>
      <c r="E32" s="77"/>
      <c r="F32" s="89"/>
      <c r="G32" s="8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29.1" customHeight="1" x14ac:dyDescent="0.3">
      <c r="A33" s="3"/>
      <c r="B33" s="522" t="s">
        <v>37</v>
      </c>
      <c r="C33" s="329" t="s">
        <v>40</v>
      </c>
      <c r="D33" s="329" t="s">
        <v>42</v>
      </c>
      <c r="E33" s="77"/>
      <c r="F33" s="89"/>
      <c r="G33" s="8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5" customHeight="1" x14ac:dyDescent="0.3">
      <c r="A34" s="433" t="s">
        <v>218</v>
      </c>
      <c r="B34" s="506"/>
      <c r="C34" s="469"/>
      <c r="D34" s="469">
        <v>10</v>
      </c>
      <c r="E34" s="77"/>
      <c r="F34" s="89"/>
      <c r="G34" s="8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3.5" customHeight="1" x14ac:dyDescent="0.3">
      <c r="A35" s="434" t="s">
        <v>219</v>
      </c>
      <c r="B35" s="507"/>
      <c r="C35" s="470"/>
      <c r="D35" s="470">
        <v>10</v>
      </c>
      <c r="E35" s="327"/>
      <c r="F35" s="432"/>
      <c r="G35" s="328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</row>
    <row r="36" spans="1:24" ht="13.5" customHeight="1" x14ac:dyDescent="0.3">
      <c r="A36" s="434" t="s">
        <v>16</v>
      </c>
      <c r="B36" s="507"/>
      <c r="C36" s="470">
        <v>300</v>
      </c>
      <c r="D36" s="470"/>
      <c r="E36" s="77"/>
      <c r="F36" s="89"/>
      <c r="G36" s="8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5" customHeight="1" x14ac:dyDescent="0.3">
      <c r="A37" s="330" t="s">
        <v>19</v>
      </c>
      <c r="B37" s="507"/>
      <c r="C37" s="470">
        <v>60</v>
      </c>
      <c r="D37" s="470"/>
      <c r="E37" s="77"/>
      <c r="F37" s="89"/>
      <c r="G37" s="8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 customHeight="1" x14ac:dyDescent="0.3">
      <c r="A38" s="330" t="s">
        <v>207</v>
      </c>
      <c r="B38" s="507"/>
      <c r="C38" s="470"/>
      <c r="D38" s="470">
        <v>12</v>
      </c>
      <c r="E38" s="327"/>
      <c r="F38" s="328"/>
      <c r="G38" s="328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</row>
    <row r="39" spans="1:24" ht="13.5" customHeight="1" x14ac:dyDescent="0.3">
      <c r="A39" s="325" t="s">
        <v>208</v>
      </c>
      <c r="B39" s="508"/>
      <c r="C39" s="471"/>
      <c r="D39" s="471">
        <v>12</v>
      </c>
      <c r="E39" s="77"/>
      <c r="F39" s="89"/>
      <c r="G39" s="89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5" customHeight="1" x14ac:dyDescent="0.3">
      <c r="A41" s="378" t="s">
        <v>46</v>
      </c>
      <c r="B41" s="379">
        <f>'Variabili per unità misura'!B105</f>
        <v>0</v>
      </c>
      <c r="C41" s="311"/>
      <c r="D41" s="435" t="s">
        <v>260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5" customHeight="1" x14ac:dyDescent="0.3">
      <c r="A43" s="431" t="s">
        <v>220</v>
      </c>
      <c r="B43" s="376">
        <f>'Variabili gestione Residenza'!$B$34*'Variabili gestione Residenza'!$D$34*30</f>
        <v>0</v>
      </c>
      <c r="C43" s="311"/>
      <c r="D43" s="3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5" customHeight="1" x14ac:dyDescent="0.3">
      <c r="A44" s="431" t="s">
        <v>222</v>
      </c>
      <c r="B44" s="376">
        <f>'Variabili gestione Residenza'!$B$35*'Variabili gestione Residenza'!$D$35*30</f>
        <v>0</v>
      </c>
      <c r="C44" s="311"/>
      <c r="D44" s="311"/>
      <c r="E44" s="311"/>
      <c r="F44" s="432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</row>
    <row r="45" spans="1:24" ht="13.5" customHeight="1" x14ac:dyDescent="0.3">
      <c r="A45" s="51" t="s">
        <v>48</v>
      </c>
      <c r="B45" s="330">
        <f>'Variabili gestione Residenza'!$B$36*'Variabili gestione Residenza'!$C$36</f>
        <v>0</v>
      </c>
      <c r="C45" s="311"/>
      <c r="D45" s="3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customHeight="1" x14ac:dyDescent="0.3">
      <c r="A46" s="51" t="s">
        <v>51</v>
      </c>
      <c r="B46" s="377">
        <f>'Variabili gestione Residenza'!$B$37*'Variabili gestione Residenza'!$C$37</f>
        <v>0</v>
      </c>
      <c r="C46" s="311"/>
      <c r="D46" s="3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3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3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3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3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3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3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3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3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3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3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3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3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3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3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3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3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3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3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3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3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3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3.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3.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3.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3.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3.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3"/>
    <row r="248" spans="1:24" ht="15.75" customHeight="1" x14ac:dyDescent="0.3"/>
    <row r="249" spans="1:24" ht="15.75" customHeight="1" x14ac:dyDescent="0.3"/>
    <row r="250" spans="1:24" ht="15.75" customHeight="1" x14ac:dyDescent="0.3"/>
    <row r="251" spans="1:24" ht="15.75" customHeight="1" x14ac:dyDescent="0.3"/>
    <row r="252" spans="1:24" ht="15.75" customHeight="1" x14ac:dyDescent="0.3"/>
    <row r="253" spans="1:24" ht="15.75" customHeight="1" x14ac:dyDescent="0.3"/>
    <row r="254" spans="1:24" ht="15.75" customHeight="1" x14ac:dyDescent="0.3"/>
    <row r="255" spans="1:24" ht="15.75" customHeight="1" x14ac:dyDescent="0.3"/>
    <row r="256" spans="1:24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</sheetData>
  <sheetProtection password="EA95" sheet="1" objects="1" scenarios="1"/>
  <mergeCells count="2">
    <mergeCell ref="A3:G3"/>
    <mergeCell ref="A1:G1"/>
  </mergeCells>
  <pageMargins left="0.70866141732283472" right="0.70866141732283472" top="0.74803149606299213" bottom="0.74803149606299213" header="0" footer="0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37" zoomScale="108" workbookViewId="0">
      <selection activeCell="F15" sqref="F15"/>
    </sheetView>
  </sheetViews>
  <sheetFormatPr defaultColWidth="12.625" defaultRowHeight="15" customHeight="1" x14ac:dyDescent="0.3"/>
  <cols>
    <col min="1" max="1" width="38.25" customWidth="1"/>
    <col min="2" max="2" width="10.125" customWidth="1"/>
    <col min="3" max="3" width="10" bestFit="1" customWidth="1"/>
    <col min="4" max="4" width="16.125" customWidth="1"/>
    <col min="5" max="5" width="16.875" customWidth="1"/>
    <col min="6" max="6" width="8.125" customWidth="1"/>
    <col min="7" max="8" width="5.625" customWidth="1"/>
    <col min="9" max="9" width="38.25" customWidth="1"/>
    <col min="10" max="26" width="5.625" customWidth="1"/>
  </cols>
  <sheetData>
    <row r="1" spans="1:26" ht="22.9" customHeight="1" x14ac:dyDescent="0.3">
      <c r="A1" s="542" t="s">
        <v>226</v>
      </c>
      <c r="B1" s="542"/>
      <c r="C1" s="542"/>
      <c r="D1" s="542"/>
      <c r="E1" s="542"/>
      <c r="F1" s="542"/>
      <c r="G1" s="542"/>
    </row>
    <row r="2" spans="1:26" ht="15" customHeight="1" x14ac:dyDescent="0.3">
      <c r="A2" s="5"/>
      <c r="B2" s="5"/>
      <c r="C2" s="5"/>
      <c r="D2" s="5"/>
    </row>
    <row r="3" spans="1:26" ht="36.75" customHeight="1" x14ac:dyDescent="0.3">
      <c r="A3" s="534" t="s">
        <v>227</v>
      </c>
      <c r="B3" s="534"/>
      <c r="C3" s="534"/>
      <c r="D3" s="534"/>
      <c r="E3" s="534"/>
      <c r="F3" s="534"/>
      <c r="G3" s="534"/>
    </row>
    <row r="4" spans="1:26" ht="20.25" x14ac:dyDescent="0.3">
      <c r="A4" s="472" t="s">
        <v>244</v>
      </c>
      <c r="B4" s="473"/>
      <c r="C4" s="473"/>
      <c r="D4" s="47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3">
      <c r="A5" s="473" t="s">
        <v>70</v>
      </c>
      <c r="B5" s="473"/>
      <c r="C5" s="473"/>
      <c r="D5" s="47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3">
      <c r="A8" s="3"/>
      <c r="B8" s="4"/>
      <c r="C8" s="4" t="s">
        <v>1</v>
      </c>
      <c r="D8" s="4" t="s">
        <v>10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3">
      <c r="A9" s="382" t="s">
        <v>12</v>
      </c>
      <c r="B9" s="38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384" t="s">
        <v>15</v>
      </c>
      <c r="B10" s="385" t="s">
        <v>10</v>
      </c>
      <c r="C10" s="126" t="s">
        <v>10</v>
      </c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386" t="s">
        <v>209</v>
      </c>
      <c r="B11" s="387">
        <f>+'Variabili gestione Residenza'!D16+'Variabili gestione Residenza'!D25</f>
        <v>0</v>
      </c>
      <c r="C11" s="126" t="e">
        <f>+B11/$B$19</f>
        <v>#DIV/0!</v>
      </c>
      <c r="D11" s="4"/>
      <c r="E11" s="429"/>
      <c r="F11" s="3"/>
      <c r="G11" s="3"/>
      <c r="H11" s="3"/>
      <c r="I11" s="42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386" t="s">
        <v>210</v>
      </c>
      <c r="B12" s="387">
        <f>+'Variabili gestione Residenza'!D17+'Variabili gestione Residenza'!D26</f>
        <v>0</v>
      </c>
      <c r="C12" s="126" t="e">
        <f t="shared" ref="C12:C19" si="0">+B12/$B$19</f>
        <v>#DIV/0!</v>
      </c>
      <c r="D12" s="4"/>
      <c r="E12" s="42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3">
      <c r="A13" s="318" t="s">
        <v>16</v>
      </c>
      <c r="B13" s="387">
        <f>'Variabili gestione Residenza'!D18+'Variabili gestione Residenza'!D27</f>
        <v>0</v>
      </c>
      <c r="C13" s="126" t="e">
        <f t="shared" si="0"/>
        <v>#DIV/0!</v>
      </c>
      <c r="D13" s="4"/>
      <c r="E13" s="42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3">
      <c r="A14" s="319" t="s">
        <v>19</v>
      </c>
      <c r="B14" s="388">
        <f>'Variabili gestione Residenza'!D19+'Variabili gestione Residenza'!D28</f>
        <v>0</v>
      </c>
      <c r="C14" s="126" t="e">
        <f t="shared" si="0"/>
        <v>#DIV/0!</v>
      </c>
      <c r="D14" s="4"/>
      <c r="E14" s="42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3">
      <c r="A15" s="389" t="s">
        <v>79</v>
      </c>
      <c r="B15" s="390">
        <f>SUM(B11:B14)</f>
        <v>0</v>
      </c>
      <c r="C15" s="126" t="e">
        <f t="shared" si="0"/>
        <v>#DIV/0!</v>
      </c>
      <c r="D15" s="4"/>
      <c r="E15" s="42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3">
      <c r="A16" s="318" t="s">
        <v>200</v>
      </c>
      <c r="B16" s="391">
        <f>'Variabili per unità misura'!B26*'Variabili per unità misura'!E70*'Variabili gestione Residenza'!B38*'Variabili gestione Residenza'!D38</f>
        <v>0</v>
      </c>
      <c r="C16" s="126" t="e">
        <f t="shared" si="0"/>
        <v>#DIV/0!</v>
      </c>
      <c r="D16" s="4"/>
      <c r="E16" s="42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19" t="s">
        <v>201</v>
      </c>
      <c r="B17" s="392">
        <f>'Variabili per unità misura'!B27*'Variabili per unità misura'!E71*'Variabili gestione Residenza'!B39*'Variabili gestione Residenza'!D39</f>
        <v>0</v>
      </c>
      <c r="C17" s="126" t="e">
        <f t="shared" si="0"/>
        <v>#DIV/0!</v>
      </c>
      <c r="D17" s="321"/>
      <c r="E17" s="429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</row>
    <row r="18" spans="1:26" ht="13.5" customHeight="1" x14ac:dyDescent="0.3">
      <c r="A18" s="382" t="s">
        <v>81</v>
      </c>
      <c r="B18" s="393">
        <f>+B16+B17</f>
        <v>0</v>
      </c>
      <c r="C18" s="126" t="e">
        <f t="shared" si="0"/>
        <v>#DIV/0!</v>
      </c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94" t="s">
        <v>82</v>
      </c>
      <c r="B19" s="395">
        <f>B18+B15</f>
        <v>0</v>
      </c>
      <c r="C19" s="126" t="e">
        <f t="shared" si="0"/>
        <v>#DIV/0!</v>
      </c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"/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82" t="s">
        <v>62</v>
      </c>
      <c r="B21" s="396"/>
      <c r="C21" s="89"/>
      <c r="D21" s="3"/>
      <c r="E21" s="311"/>
      <c r="F21" s="3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84" t="s">
        <v>57</v>
      </c>
      <c r="B22" s="385">
        <f>'Variabili per unità misura'!B90</f>
        <v>0</v>
      </c>
      <c r="C22" s="126" t="e">
        <f t="shared" ref="C22:C32" si="1">+B22/$B$39</f>
        <v>#DIV/0!</v>
      </c>
      <c r="D22" s="3"/>
      <c r="E22" s="429"/>
      <c r="F22" s="3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18" t="s">
        <v>68</v>
      </c>
      <c r="B23" s="391">
        <f>'Variabili per unità misura'!B95</f>
        <v>0</v>
      </c>
      <c r="C23" s="126" t="e">
        <f t="shared" si="1"/>
        <v>#DIV/0!</v>
      </c>
      <c r="D23" s="3"/>
      <c r="E23" s="429"/>
      <c r="F23" s="31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18" t="s">
        <v>83</v>
      </c>
      <c r="B24" s="391">
        <f>'Variabili per unità misura'!B100</f>
        <v>0</v>
      </c>
      <c r="C24" s="126" t="e">
        <f t="shared" si="1"/>
        <v>#DIV/0!</v>
      </c>
      <c r="D24" s="3"/>
      <c r="E24" s="429"/>
      <c r="F24" s="3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5.15" customHeight="1" x14ac:dyDescent="0.3">
      <c r="A25" s="27" t="s">
        <v>84</v>
      </c>
      <c r="B25" s="391">
        <f>'Variabili per unità misura'!B32*'Variabili per unità misura'!B103/1.22*0</f>
        <v>0</v>
      </c>
      <c r="C25" s="126" t="e">
        <f t="shared" si="1"/>
        <v>#DIV/0!</v>
      </c>
      <c r="D25" s="3"/>
      <c r="E25" s="547" t="s">
        <v>248</v>
      </c>
      <c r="F25" s="548"/>
      <c r="G25" s="54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 x14ac:dyDescent="0.3">
      <c r="A26" s="318" t="s">
        <v>85</v>
      </c>
      <c r="B26" s="391">
        <f>'Variabili per unità misura'!B31*'Variabili per unità misura'!B104/1.22+E26</f>
        <v>0</v>
      </c>
      <c r="C26" s="126" t="e">
        <f t="shared" si="1"/>
        <v>#DIV/0!</v>
      </c>
      <c r="D26" s="3"/>
      <c r="E26" s="543"/>
      <c r="F26" s="543"/>
      <c r="G26" s="543"/>
      <c r="H26" s="60"/>
      <c r="I26" s="537" t="s">
        <v>261</v>
      </c>
      <c r="J26" s="537"/>
      <c r="K26" s="53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x14ac:dyDescent="0.3">
      <c r="A27" s="318" t="s">
        <v>59</v>
      </c>
      <c r="B27" s="391">
        <f>('Variabili gestione Residenza'!B19*'Variabili gestione Residenza'!B41*'Variabili gestione Residenza'!B46+'Variabili gestione Residenza'!B28*'Variabili gestione Residenza'!B46*2*'Variabili gestione Residenza'!B41)/1.22</f>
        <v>0</v>
      </c>
      <c r="C27" s="126" t="e">
        <f t="shared" si="1"/>
        <v>#DIV/0!</v>
      </c>
      <c r="D27" s="3"/>
      <c r="E27" s="544" t="s">
        <v>260</v>
      </c>
      <c r="F27" s="545"/>
      <c r="G27" s="54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437" t="s">
        <v>223</v>
      </c>
      <c r="B28" s="391">
        <f>+'Variabili per unità misura'!B106*'Variabili per unità misura'!B32/1.22</f>
        <v>0</v>
      </c>
      <c r="C28" s="126" t="e">
        <f t="shared" si="1"/>
        <v>#DIV/0!</v>
      </c>
      <c r="D28" s="3"/>
      <c r="E28" s="429"/>
      <c r="F28" s="31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18" t="s">
        <v>87</v>
      </c>
      <c r="B29" s="391">
        <f>+'Variabili per unità misura'!B30*'Variabili per unità misura'!B107/1.22</f>
        <v>0</v>
      </c>
      <c r="C29" s="126" t="e">
        <f t="shared" si="1"/>
        <v>#DIV/0!</v>
      </c>
      <c r="D29" s="3"/>
      <c r="E29" s="42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18" t="s">
        <v>86</v>
      </c>
      <c r="B30" s="391">
        <f>(SUM(B25:B27)*'Variabili per unità misura'!B108)</f>
        <v>0</v>
      </c>
      <c r="C30" s="126" t="e">
        <f t="shared" si="1"/>
        <v>#DIV/0!</v>
      </c>
      <c r="D30" s="3"/>
      <c r="E30" s="429"/>
      <c r="F30" s="3"/>
      <c r="G30" s="43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3">
      <c r="A31" s="318" t="s">
        <v>89</v>
      </c>
      <c r="B31" s="391">
        <f>+'Variabili per unità misura'!B11</f>
        <v>0</v>
      </c>
      <c r="C31" s="126" t="e">
        <f t="shared" si="1"/>
        <v>#DIV/0!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3">
      <c r="A32" s="397" t="s">
        <v>215</v>
      </c>
      <c r="B32" s="398">
        <f>SUM(B22:B31)</f>
        <v>0</v>
      </c>
      <c r="C32" s="126" t="e">
        <f t="shared" si="1"/>
        <v>#DIV/0!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89"/>
      <c r="B33" s="390"/>
      <c r="C33" s="126" t="s">
        <v>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437" t="s">
        <v>266</v>
      </c>
      <c r="B34" s="391">
        <f>B51*'Variabili per unità misura'!B111</f>
        <v>0</v>
      </c>
      <c r="C34" s="126" t="e">
        <f>+B34/$B$39</f>
        <v>#DIV/0!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18"/>
      <c r="B35" s="391"/>
      <c r="C35" s="12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437" t="s">
        <v>267</v>
      </c>
      <c r="B36" s="391">
        <f>B53*'Variabili per unità misura'!B113</f>
        <v>0</v>
      </c>
      <c r="C36" s="1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18" t="s">
        <v>211</v>
      </c>
      <c r="B37" s="391">
        <f>B54*'Variabili per unità misura'!B114</f>
        <v>0</v>
      </c>
      <c r="C37" s="320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</row>
    <row r="38" spans="1:26" ht="13.5" customHeight="1" x14ac:dyDescent="0.3">
      <c r="A38" s="399" t="s">
        <v>90</v>
      </c>
      <c r="B38" s="400">
        <f>SUM(B34:B37)</f>
        <v>0</v>
      </c>
      <c r="C38" s="126" t="e">
        <f>+B38/$B$39</f>
        <v>#DIV/0!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401" t="s">
        <v>91</v>
      </c>
      <c r="B39" s="402">
        <f>B38+B32</f>
        <v>0</v>
      </c>
      <c r="C39" s="126" t="e">
        <f>+B39/$B$39</f>
        <v>#DIV/0!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403" t="s">
        <v>92</v>
      </c>
      <c r="B41" s="404">
        <f>(B15+B18-B39)</f>
        <v>0</v>
      </c>
      <c r="C41" s="8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438" t="s">
        <v>225</v>
      </c>
      <c r="B42" s="405">
        <f>+B41*D42</f>
        <v>0</v>
      </c>
      <c r="C42" s="89"/>
      <c r="D42" s="509"/>
      <c r="E42" s="430" t="s">
        <v>262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401" t="s">
        <v>93</v>
      </c>
      <c r="B43" s="402">
        <f>+B41-B42</f>
        <v>0</v>
      </c>
      <c r="C43" s="13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68"/>
      <c r="B44" s="89"/>
      <c r="C44" s="8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403" t="s">
        <v>94</v>
      </c>
      <c r="B45" s="419" t="e">
        <f>B41/B55</f>
        <v>#DIV/0!</v>
      </c>
      <c r="C45" s="13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94" t="s">
        <v>95</v>
      </c>
      <c r="B46" s="420" t="e">
        <f>+B43/B55</f>
        <v>#DIV/0!</v>
      </c>
      <c r="C46" s="6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81" t="s">
        <v>96</v>
      </c>
      <c r="B49" s="89"/>
      <c r="C49" s="8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27" t="s">
        <v>10</v>
      </c>
      <c r="B50" s="328"/>
      <c r="C50" s="12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27" t="str">
        <f>+'Variabili per unità misura'!A117</f>
        <v>Arredi Camere e Spazi Comuni</v>
      </c>
      <c r="B51" s="410">
        <f>'Variabili per unità misura'!$E$80*('Variabili gestione Residenza'!B10)</f>
        <v>0</v>
      </c>
      <c r="C51" s="126" t="e">
        <f>+B51/$B$55</f>
        <v>#DIV/0!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27"/>
      <c r="B52" s="411"/>
      <c r="C52" s="12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27" t="str">
        <f>+'Variabili per unità misura'!A119</f>
        <v xml:space="preserve">Arredi Bar </v>
      </c>
      <c r="B53" s="411">
        <f>+'Variabili per unità misura'!B119</f>
        <v>0</v>
      </c>
      <c r="C53" s="126" t="e">
        <f>+B53/$B$55</f>
        <v>#DIV/0!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27" t="str">
        <f>+'Variabili per unità misura'!A120</f>
        <v>Arredi Palestra</v>
      </c>
      <c r="B54" s="411">
        <f>+'Variabili per unità misura'!B120</f>
        <v>0</v>
      </c>
      <c r="C54" s="126" t="e">
        <f>+B54/$B$55</f>
        <v>#DIV/0!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1" t="s">
        <v>97</v>
      </c>
      <c r="B55" s="417">
        <f>SUM(B50:B54)</f>
        <v>0</v>
      </c>
      <c r="C55" s="126" t="e">
        <f>+B55/$B$55</f>
        <v>#DIV/0!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51" t="s">
        <v>49</v>
      </c>
      <c r="B56" s="476">
        <f>+B55*0.22</f>
        <v>0</v>
      </c>
      <c r="C56" s="8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1" t="s">
        <v>98</v>
      </c>
      <c r="B57" s="418">
        <f>B56+B55</f>
        <v>0</v>
      </c>
      <c r="C57" s="13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/>
    <row r="259" spans="1:26" ht="15.75" customHeight="1" x14ac:dyDescent="0.3"/>
    <row r="260" spans="1:26" ht="15.75" customHeight="1" x14ac:dyDescent="0.3"/>
    <row r="261" spans="1:26" ht="15.75" customHeight="1" x14ac:dyDescent="0.3"/>
    <row r="262" spans="1:26" ht="15.75" customHeight="1" x14ac:dyDescent="0.3"/>
    <row r="263" spans="1:26" ht="15.75" customHeight="1" x14ac:dyDescent="0.3"/>
    <row r="264" spans="1:26" ht="15.75" customHeight="1" x14ac:dyDescent="0.3"/>
    <row r="265" spans="1:26" ht="15.75" customHeight="1" x14ac:dyDescent="0.3"/>
    <row r="266" spans="1:26" ht="15.75" customHeight="1" x14ac:dyDescent="0.3"/>
    <row r="267" spans="1:26" ht="15.75" customHeight="1" x14ac:dyDescent="0.3"/>
    <row r="268" spans="1:26" ht="15.75" customHeight="1" x14ac:dyDescent="0.3"/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sheetProtection password="EA95" sheet="1" objects="1" scenarios="1"/>
  <mergeCells count="6">
    <mergeCell ref="I26:K26"/>
    <mergeCell ref="A1:G1"/>
    <mergeCell ref="A3:G3"/>
    <mergeCell ref="E26:G26"/>
    <mergeCell ref="E27:G27"/>
    <mergeCell ref="E25:G25"/>
  </mergeCells>
  <pageMargins left="0.70866141732283472" right="0.70866141732283472" top="0.74803149606299213" bottom="0.74803149606299213" header="0" footer="0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31" zoomScale="108" workbookViewId="0">
      <selection activeCell="D12" sqref="D12"/>
    </sheetView>
  </sheetViews>
  <sheetFormatPr defaultColWidth="12.625" defaultRowHeight="15" customHeight="1" x14ac:dyDescent="0.3"/>
  <cols>
    <col min="1" max="1" width="37.375" customWidth="1"/>
    <col min="2" max="2" width="10.125" customWidth="1"/>
    <col min="3" max="3" width="10" bestFit="1" customWidth="1"/>
    <col min="4" max="4" width="16.125" customWidth="1"/>
    <col min="5" max="5" width="20.875" customWidth="1"/>
    <col min="6" max="6" width="11" customWidth="1"/>
    <col min="7" max="26" width="5.625" customWidth="1"/>
  </cols>
  <sheetData>
    <row r="1" spans="1:26" ht="20.25" x14ac:dyDescent="0.3">
      <c r="A1" s="542" t="s">
        <v>226</v>
      </c>
      <c r="B1" s="542"/>
      <c r="C1" s="542"/>
      <c r="D1" s="542"/>
      <c r="E1" s="542"/>
      <c r="F1" s="542"/>
      <c r="G1" s="542"/>
    </row>
    <row r="2" spans="1:26" ht="15" customHeight="1" x14ac:dyDescent="0.3">
      <c r="A2" s="5"/>
      <c r="B2" s="5"/>
      <c r="C2" s="5"/>
      <c r="D2" s="5"/>
    </row>
    <row r="3" spans="1:26" ht="42.75" customHeight="1" x14ac:dyDescent="0.3">
      <c r="A3" s="534" t="s">
        <v>227</v>
      </c>
      <c r="B3" s="534"/>
      <c r="C3" s="534"/>
      <c r="D3" s="534"/>
      <c r="E3" s="534"/>
      <c r="F3" s="534"/>
      <c r="G3" s="534"/>
    </row>
    <row r="4" spans="1:26" ht="20.25" x14ac:dyDescent="0.3">
      <c r="A4" s="553" t="s">
        <v>247</v>
      </c>
      <c r="B4" s="553"/>
      <c r="C4" s="553"/>
      <c r="D4" s="553"/>
      <c r="E4" s="553"/>
      <c r="F4" s="553"/>
      <c r="G4" s="55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3">
      <c r="A5" s="554" t="s">
        <v>70</v>
      </c>
      <c r="B5" s="554"/>
      <c r="C5" s="554"/>
      <c r="D5" s="554"/>
      <c r="E5" s="554"/>
      <c r="F5" s="554"/>
      <c r="G5" s="55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3">
      <c r="A8" s="3"/>
      <c r="B8" s="4"/>
      <c r="C8" s="4" t="s">
        <v>1</v>
      </c>
      <c r="D8" s="4" t="s">
        <v>10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3">
      <c r="A9" s="382" t="s">
        <v>12</v>
      </c>
      <c r="B9" s="38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384" t="s">
        <v>15</v>
      </c>
      <c r="B10" s="385" t="s">
        <v>10</v>
      </c>
      <c r="C10" s="126" t="s">
        <v>10</v>
      </c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386" t="s">
        <v>209</v>
      </c>
      <c r="B11" s="387">
        <f>+'Variabili gestione Residenza'!D16+'Variabili gestione Residenza'!D25</f>
        <v>0</v>
      </c>
      <c r="C11" s="126" t="e">
        <f>+B11/$B$19</f>
        <v>#DIV/0!</v>
      </c>
      <c r="D11" s="4"/>
      <c r="E11" s="429"/>
      <c r="F11" s="3"/>
      <c r="G11" s="3"/>
      <c r="H11" s="3"/>
      <c r="I11" s="42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386" t="s">
        <v>210</v>
      </c>
      <c r="B12" s="387">
        <f>+'Variabili gestione Residenza'!D17+'Variabili gestione Residenza'!D26</f>
        <v>0</v>
      </c>
      <c r="C12" s="126" t="e">
        <f t="shared" ref="C12:C19" si="0">+B12/$B$19</f>
        <v>#DIV/0!</v>
      </c>
      <c r="D12" s="4"/>
      <c r="E12" s="42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3">
      <c r="A13" s="318" t="s">
        <v>16</v>
      </c>
      <c r="B13" s="387">
        <f>'Variabili gestione Residenza'!D18+'Variabili gestione Residenza'!D27</f>
        <v>0</v>
      </c>
      <c r="C13" s="126" t="e">
        <f t="shared" si="0"/>
        <v>#DIV/0!</v>
      </c>
      <c r="D13" s="4"/>
      <c r="E13" s="42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3">
      <c r="A14" s="319" t="s">
        <v>19</v>
      </c>
      <c r="B14" s="388">
        <f>'Variabili gestione Residenza'!D19+'Variabili gestione Residenza'!D28</f>
        <v>0</v>
      </c>
      <c r="C14" s="126" t="e">
        <f t="shared" si="0"/>
        <v>#DIV/0!</v>
      </c>
      <c r="D14" s="4"/>
      <c r="E14" s="42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3">
      <c r="A15" s="389" t="s">
        <v>79</v>
      </c>
      <c r="B15" s="390">
        <f>SUM(B11:B14)</f>
        <v>0</v>
      </c>
      <c r="C15" s="126" t="e">
        <f t="shared" si="0"/>
        <v>#DIV/0!</v>
      </c>
      <c r="D15" s="4"/>
      <c r="E15" s="42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3">
      <c r="A16" s="318" t="s">
        <v>200</v>
      </c>
      <c r="B16" s="391">
        <f>'Variabili per unità misura'!B26*'Variabili per unità misura'!E70*'Variabili gestione Residenza'!B38*'Variabili gestione Residenza'!D38</f>
        <v>0</v>
      </c>
      <c r="C16" s="126" t="e">
        <f t="shared" si="0"/>
        <v>#DIV/0!</v>
      </c>
      <c r="D16" s="4"/>
      <c r="E16" s="42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19" t="s">
        <v>201</v>
      </c>
      <c r="B17" s="392">
        <f>'Variabili per unità misura'!B27*'Variabili per unità misura'!E71*'Variabili gestione Residenza'!B39*'Variabili gestione Residenza'!D39</f>
        <v>0</v>
      </c>
      <c r="C17" s="126" t="e">
        <f t="shared" si="0"/>
        <v>#DIV/0!</v>
      </c>
      <c r="D17" s="321"/>
      <c r="E17" s="429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</row>
    <row r="18" spans="1:26" ht="13.5" customHeight="1" x14ac:dyDescent="0.3">
      <c r="A18" s="382" t="s">
        <v>81</v>
      </c>
      <c r="B18" s="393">
        <f>+B16+B17</f>
        <v>0</v>
      </c>
      <c r="C18" s="126" t="e">
        <f t="shared" si="0"/>
        <v>#DIV/0!</v>
      </c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94" t="s">
        <v>82</v>
      </c>
      <c r="B19" s="395">
        <f>B18+B15</f>
        <v>0</v>
      </c>
      <c r="C19" s="126" t="e">
        <f t="shared" si="0"/>
        <v>#DIV/0!</v>
      </c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"/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82" t="s">
        <v>62</v>
      </c>
      <c r="B21" s="396"/>
      <c r="C21" s="89"/>
      <c r="D21" s="3"/>
      <c r="E21" s="311"/>
      <c r="F21" s="3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84" t="s">
        <v>57</v>
      </c>
      <c r="B22" s="385">
        <f>'Variabili per unità misura'!B90</f>
        <v>0</v>
      </c>
      <c r="C22" s="126" t="e">
        <f t="shared" ref="C22:C32" si="1">+B22/$B$39</f>
        <v>#DIV/0!</v>
      </c>
      <c r="D22" s="3"/>
      <c r="E22" s="429"/>
      <c r="F22" s="3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18" t="s">
        <v>68</v>
      </c>
      <c r="B23" s="391">
        <f>'Variabili per unità misura'!B95</f>
        <v>0</v>
      </c>
      <c r="C23" s="126" t="e">
        <f t="shared" si="1"/>
        <v>#DIV/0!</v>
      </c>
      <c r="D23" s="3"/>
      <c r="E23" s="429"/>
      <c r="F23" s="31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18" t="s">
        <v>83</v>
      </c>
      <c r="B24" s="391">
        <f>'Variabili per unità misura'!B100</f>
        <v>0</v>
      </c>
      <c r="C24" s="126" t="e">
        <f t="shared" si="1"/>
        <v>#DIV/0!</v>
      </c>
      <c r="D24" s="3"/>
      <c r="E24" s="429"/>
      <c r="F24" s="3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27" t="s">
        <v>84</v>
      </c>
      <c r="B25" s="391">
        <f>'Variabili per unità misura'!B32*'Variabili per unità misura'!B103/1.22*0</f>
        <v>0</v>
      </c>
      <c r="C25" s="126" t="e">
        <f t="shared" si="1"/>
        <v>#DIV/0!</v>
      </c>
      <c r="D25" s="3"/>
      <c r="E25" s="550" t="s">
        <v>248</v>
      </c>
      <c r="F25" s="551"/>
      <c r="G25" s="55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18" t="s">
        <v>85</v>
      </c>
      <c r="B26" s="391">
        <f>'Variabili per unità misura'!B31*'Variabili per unità misura'!B104/1.22</f>
        <v>0</v>
      </c>
      <c r="C26" s="126" t="e">
        <f t="shared" si="1"/>
        <v>#DIV/0!</v>
      </c>
      <c r="D26" s="3"/>
      <c r="E26" s="42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x14ac:dyDescent="0.3">
      <c r="A27" s="318" t="s">
        <v>59</v>
      </c>
      <c r="B27" s="391">
        <f>('Variabili gestione Residenza'!B19*'Variabili gestione Residenza'!B41*'Variabili gestione Residenza'!B46+'Variabili gestione Residenza'!B28*'Variabili gestione Residenza'!B46*2*'Variabili gestione Residenza'!B41)/1.22</f>
        <v>0</v>
      </c>
      <c r="C27" s="126" t="e">
        <f t="shared" si="1"/>
        <v>#DIV/0!</v>
      </c>
      <c r="D27" s="3"/>
      <c r="E27" s="550" t="s">
        <v>260</v>
      </c>
      <c r="F27" s="551"/>
      <c r="G27" s="55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437" t="s">
        <v>223</v>
      </c>
      <c r="B28" s="391">
        <f>+'Variabili per unità misura'!B106*'Variabili per unità misura'!B32/1.22</f>
        <v>0</v>
      </c>
      <c r="C28" s="126" t="e">
        <f t="shared" si="1"/>
        <v>#DIV/0!</v>
      </c>
      <c r="D28" s="3"/>
      <c r="E28" s="429"/>
      <c r="F28" s="31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18" t="s">
        <v>87</v>
      </c>
      <c r="B29" s="391">
        <f>+'Variabili per unità misura'!B30*'Variabili per unità misura'!B107/1.22</f>
        <v>0</v>
      </c>
      <c r="C29" s="126" t="e">
        <f t="shared" si="1"/>
        <v>#DIV/0!</v>
      </c>
      <c r="D29" s="3"/>
      <c r="E29" s="42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18" t="s">
        <v>86</v>
      </c>
      <c r="B30" s="391">
        <f>(SUM(B25:B27)*'Variabili per unità misura'!B108)</f>
        <v>0</v>
      </c>
      <c r="C30" s="126" t="e">
        <f t="shared" si="1"/>
        <v>#DIV/0!</v>
      </c>
      <c r="D30" s="3"/>
      <c r="E30" s="429"/>
      <c r="F30" s="3"/>
      <c r="G30" s="43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3">
      <c r="A31" s="318" t="s">
        <v>89</v>
      </c>
      <c r="B31" s="391">
        <f>+'Variabili per unità misura'!B11</f>
        <v>0</v>
      </c>
      <c r="C31" s="126" t="e">
        <f t="shared" si="1"/>
        <v>#DIV/0!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3">
      <c r="A32" s="397" t="s">
        <v>215</v>
      </c>
      <c r="B32" s="398">
        <f>SUM(B22:B31)</f>
        <v>0</v>
      </c>
      <c r="C32" s="126" t="e">
        <f t="shared" si="1"/>
        <v>#DIV/0!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89"/>
      <c r="B33" s="390"/>
      <c r="C33" s="126" t="s">
        <v>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437" t="s">
        <v>266</v>
      </c>
      <c r="B34" s="391">
        <f>B51*'Variabili per unità misura'!B111</f>
        <v>0</v>
      </c>
      <c r="C34" s="126" t="e">
        <f>+B34/$B$39</f>
        <v>#DIV/0!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18"/>
      <c r="B35" s="391"/>
      <c r="C35" s="12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437" t="s">
        <v>267</v>
      </c>
      <c r="B36" s="391">
        <f>B53*'Variabili per unità misura'!B113</f>
        <v>0</v>
      </c>
      <c r="C36" s="1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18" t="s">
        <v>211</v>
      </c>
      <c r="B37" s="391">
        <f>B54*'Variabili per unità misura'!B114</f>
        <v>0</v>
      </c>
      <c r="C37" s="320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</row>
    <row r="38" spans="1:26" ht="13.5" customHeight="1" x14ac:dyDescent="0.3">
      <c r="A38" s="399" t="s">
        <v>90</v>
      </c>
      <c r="B38" s="400">
        <f>SUM(B34:B37)</f>
        <v>0</v>
      </c>
      <c r="C38" s="126" t="e">
        <f>+B38/$B$39</f>
        <v>#DIV/0!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401" t="s">
        <v>91</v>
      </c>
      <c r="B39" s="402">
        <f>B38+B32</f>
        <v>0</v>
      </c>
      <c r="C39" s="126" t="e">
        <f>+B39/$B$39</f>
        <v>#DIV/0!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403" t="s">
        <v>92</v>
      </c>
      <c r="B41" s="404">
        <f>(B15+B18-B39)</f>
        <v>0</v>
      </c>
      <c r="C41" s="8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438" t="s">
        <v>225</v>
      </c>
      <c r="B42" s="405">
        <f>+B41*D42</f>
        <v>0</v>
      </c>
      <c r="C42" s="89"/>
      <c r="D42" s="509"/>
      <c r="E42" s="430" t="s">
        <v>262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401" t="s">
        <v>93</v>
      </c>
      <c r="B43" s="402">
        <f>+B41-B42</f>
        <v>0</v>
      </c>
      <c r="C43" s="13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68"/>
      <c r="B44" s="89"/>
      <c r="C44" s="8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403" t="s">
        <v>94</v>
      </c>
      <c r="B45" s="419" t="e">
        <f>B41/B55</f>
        <v>#DIV/0!</v>
      </c>
      <c r="C45" s="13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94" t="s">
        <v>95</v>
      </c>
      <c r="B46" s="420" t="e">
        <f>+B43/B55</f>
        <v>#DIV/0!</v>
      </c>
      <c r="C46" s="6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81" t="s">
        <v>96</v>
      </c>
      <c r="B49" s="89"/>
      <c r="C49" s="8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27" t="s">
        <v>10</v>
      </c>
      <c r="B50" s="328"/>
      <c r="C50" s="12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27" t="str">
        <f>+'Variabili per unità misura'!A117</f>
        <v>Arredi Camere e Spazi Comuni</v>
      </c>
      <c r="B51" s="410">
        <f>'Variabili per unità misura'!$E$80*('Variabili gestione Residenza'!B10)</f>
        <v>0</v>
      </c>
      <c r="C51" s="126" t="e">
        <f>+B51/$B$55</f>
        <v>#DIV/0!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27"/>
      <c r="B52" s="411"/>
      <c r="C52" s="12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27" t="str">
        <f>+'Variabili per unità misura'!A119</f>
        <v xml:space="preserve">Arredi Bar </v>
      </c>
      <c r="B53" s="411">
        <f>+'Variabili per unità misura'!B119</f>
        <v>0</v>
      </c>
      <c r="C53" s="126" t="e">
        <f>+B53/$B$55</f>
        <v>#DIV/0!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27" t="str">
        <f>+'Variabili per unità misura'!A120</f>
        <v>Arredi Palestra</v>
      </c>
      <c r="B54" s="411">
        <f>+'Variabili per unità misura'!B120</f>
        <v>0</v>
      </c>
      <c r="C54" s="126" t="e">
        <f>+B54/$B$55</f>
        <v>#DIV/0!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1" t="s">
        <v>97</v>
      </c>
      <c r="B55" s="417">
        <f>SUM(B50:B54)</f>
        <v>0</v>
      </c>
      <c r="C55" s="126" t="e">
        <f>+B55/$B$55</f>
        <v>#DIV/0!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51" t="s">
        <v>49</v>
      </c>
      <c r="B56" s="476">
        <f>+B55*0.22</f>
        <v>0</v>
      </c>
      <c r="C56" s="8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1" t="s">
        <v>98</v>
      </c>
      <c r="B57" s="418">
        <f>B56+B55</f>
        <v>0</v>
      </c>
      <c r="C57" s="13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/>
    <row r="259" spans="1:26" ht="15.75" customHeight="1" x14ac:dyDescent="0.3"/>
    <row r="260" spans="1:26" ht="15.75" customHeight="1" x14ac:dyDescent="0.3"/>
    <row r="261" spans="1:26" ht="15.75" customHeight="1" x14ac:dyDescent="0.3"/>
    <row r="262" spans="1:26" ht="15.75" customHeight="1" x14ac:dyDescent="0.3"/>
    <row r="263" spans="1:26" ht="15.75" customHeight="1" x14ac:dyDescent="0.3"/>
    <row r="264" spans="1:26" ht="15.75" customHeight="1" x14ac:dyDescent="0.3"/>
    <row r="265" spans="1:26" ht="15.75" customHeight="1" x14ac:dyDescent="0.3"/>
    <row r="266" spans="1:26" ht="15.75" customHeight="1" x14ac:dyDescent="0.3"/>
    <row r="267" spans="1:26" ht="15.75" customHeight="1" x14ac:dyDescent="0.3"/>
    <row r="268" spans="1:26" ht="15.75" customHeight="1" x14ac:dyDescent="0.3"/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sheetProtection password="EA95" sheet="1" objects="1" scenarios="1"/>
  <mergeCells count="6">
    <mergeCell ref="E27:G27"/>
    <mergeCell ref="A1:G1"/>
    <mergeCell ref="A3:G3"/>
    <mergeCell ref="A4:G4"/>
    <mergeCell ref="A5:G5"/>
    <mergeCell ref="E25:G25"/>
  </mergeCells>
  <pageMargins left="0.70866141732283472" right="0.70866141732283472" top="0.74803149606299213" bottom="0.74803149606299213" header="0" footer="0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25" zoomScale="108" workbookViewId="0">
      <selection activeCell="F36" sqref="F36"/>
    </sheetView>
  </sheetViews>
  <sheetFormatPr defaultColWidth="12.625" defaultRowHeight="15" customHeight="1" x14ac:dyDescent="0.3"/>
  <cols>
    <col min="1" max="1" width="37.75" customWidth="1"/>
    <col min="2" max="2" width="10.125" customWidth="1"/>
    <col min="3" max="3" width="10" bestFit="1" customWidth="1"/>
    <col min="4" max="4" width="16.125" customWidth="1"/>
    <col min="5" max="5" width="12.75" customWidth="1"/>
    <col min="6" max="6" width="16.375" customWidth="1"/>
    <col min="7" max="7" width="3" customWidth="1"/>
    <col min="8" max="26" width="5.625" customWidth="1"/>
  </cols>
  <sheetData>
    <row r="1" spans="1:26" ht="23.25" customHeight="1" x14ac:dyDescent="0.3">
      <c r="A1" s="542" t="s">
        <v>226</v>
      </c>
      <c r="B1" s="542"/>
      <c r="C1" s="542"/>
      <c r="D1" s="542"/>
      <c r="E1" s="542"/>
      <c r="F1" s="542"/>
      <c r="G1" s="542"/>
    </row>
    <row r="2" spans="1:26" ht="15" customHeight="1" x14ac:dyDescent="0.3">
      <c r="A2" s="5"/>
      <c r="B2" s="5"/>
      <c r="C2" s="5"/>
      <c r="D2" s="5"/>
    </row>
    <row r="3" spans="1:26" ht="41.25" customHeight="1" x14ac:dyDescent="0.3">
      <c r="A3" s="534" t="s">
        <v>227</v>
      </c>
      <c r="B3" s="534"/>
      <c r="C3" s="534"/>
      <c r="D3" s="534"/>
      <c r="E3" s="534"/>
      <c r="F3" s="534"/>
      <c r="G3" s="534"/>
    </row>
    <row r="4" spans="1:26" ht="20.25" x14ac:dyDescent="0.3">
      <c r="A4" s="553" t="s">
        <v>249</v>
      </c>
      <c r="B4" s="553"/>
      <c r="C4" s="553"/>
      <c r="D4" s="553"/>
      <c r="E4" s="553"/>
      <c r="F4" s="553"/>
      <c r="G4" s="55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3">
      <c r="A5" s="554" t="s">
        <v>70</v>
      </c>
      <c r="B5" s="554"/>
      <c r="C5" s="554"/>
      <c r="D5" s="554"/>
      <c r="E5" s="554"/>
      <c r="F5" s="554"/>
      <c r="G5" s="55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3">
      <c r="A8" s="3"/>
      <c r="B8" s="4"/>
      <c r="C8" s="4" t="s">
        <v>1</v>
      </c>
      <c r="D8" s="4" t="s">
        <v>10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3">
      <c r="A9" s="382" t="s">
        <v>12</v>
      </c>
      <c r="B9" s="38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384" t="s">
        <v>15</v>
      </c>
      <c r="B10" s="385" t="s">
        <v>10</v>
      </c>
      <c r="C10" s="126" t="s">
        <v>10</v>
      </c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386" t="s">
        <v>209</v>
      </c>
      <c r="B11" s="387">
        <f>+'Variabili gestione Residenza'!D16+'Variabili gestione Residenza'!D25</f>
        <v>0</v>
      </c>
      <c r="C11" s="126" t="e">
        <f>+B11/$B$19</f>
        <v>#DIV/0!</v>
      </c>
      <c r="D11" s="4"/>
      <c r="E11" s="429"/>
      <c r="F11" s="3"/>
      <c r="G11" s="3"/>
      <c r="H11" s="3"/>
      <c r="I11" s="42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386" t="s">
        <v>210</v>
      </c>
      <c r="B12" s="387">
        <f>+'Variabili gestione Residenza'!D17+'Variabili gestione Residenza'!D26</f>
        <v>0</v>
      </c>
      <c r="C12" s="126" t="e">
        <f t="shared" ref="C12:C19" si="0">+B12/$B$19</f>
        <v>#DIV/0!</v>
      </c>
      <c r="D12" s="4"/>
      <c r="E12" s="42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3">
      <c r="A13" s="318" t="s">
        <v>16</v>
      </c>
      <c r="B13" s="387">
        <f>'Variabili gestione Residenza'!D18+'Variabili gestione Residenza'!D27</f>
        <v>0</v>
      </c>
      <c r="C13" s="126" t="e">
        <f t="shared" si="0"/>
        <v>#DIV/0!</v>
      </c>
      <c r="D13" s="4"/>
      <c r="E13" s="42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3">
      <c r="A14" s="319" t="s">
        <v>19</v>
      </c>
      <c r="B14" s="388">
        <f>'Variabili gestione Residenza'!D19+'Variabili gestione Residenza'!D28</f>
        <v>0</v>
      </c>
      <c r="C14" s="126" t="e">
        <f t="shared" si="0"/>
        <v>#DIV/0!</v>
      </c>
      <c r="D14" s="4"/>
      <c r="E14" s="42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3">
      <c r="A15" s="389" t="s">
        <v>79</v>
      </c>
      <c r="B15" s="390">
        <f>SUM(B11:B14)</f>
        <v>0</v>
      </c>
      <c r="C15" s="126" t="e">
        <f t="shared" si="0"/>
        <v>#DIV/0!</v>
      </c>
      <c r="D15" s="4"/>
      <c r="E15" s="42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3">
      <c r="A16" s="318" t="s">
        <v>200</v>
      </c>
      <c r="B16" s="391">
        <f>'Variabili per unità misura'!B26*'Variabili per unità misura'!E70*'Variabili gestione Residenza'!B38*'Variabili gestione Residenza'!D38</f>
        <v>0</v>
      </c>
      <c r="C16" s="126" t="e">
        <f t="shared" si="0"/>
        <v>#DIV/0!</v>
      </c>
      <c r="D16" s="4"/>
      <c r="E16" s="42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19" t="s">
        <v>201</v>
      </c>
      <c r="B17" s="392">
        <f>'Variabili per unità misura'!B27*'Variabili per unità misura'!E71*'Variabili gestione Residenza'!B39*'Variabili gestione Residenza'!D39</f>
        <v>0</v>
      </c>
      <c r="C17" s="126" t="e">
        <f t="shared" si="0"/>
        <v>#DIV/0!</v>
      </c>
      <c r="D17" s="321"/>
      <c r="E17" s="429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</row>
    <row r="18" spans="1:26" ht="13.5" customHeight="1" x14ac:dyDescent="0.3">
      <c r="A18" s="382" t="s">
        <v>81</v>
      </c>
      <c r="B18" s="393">
        <f>+B16+B17</f>
        <v>0</v>
      </c>
      <c r="C18" s="126" t="e">
        <f t="shared" si="0"/>
        <v>#DIV/0!</v>
      </c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94" t="s">
        <v>82</v>
      </c>
      <c r="B19" s="395">
        <f>B18+B15</f>
        <v>0</v>
      </c>
      <c r="C19" s="126" t="e">
        <f t="shared" si="0"/>
        <v>#DIV/0!</v>
      </c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"/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382" t="s">
        <v>62</v>
      </c>
      <c r="B21" s="396"/>
      <c r="C21" s="89"/>
      <c r="D21" s="3"/>
      <c r="E21" s="311"/>
      <c r="F21" s="3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384" t="s">
        <v>57</v>
      </c>
      <c r="B22" s="385">
        <f>'Variabili per unità misura'!B90</f>
        <v>0</v>
      </c>
      <c r="C22" s="126" t="e">
        <f t="shared" ref="C22:C32" si="1">+B22/$B$39</f>
        <v>#DIV/0!</v>
      </c>
      <c r="D22" s="3"/>
      <c r="E22" s="429"/>
      <c r="F22" s="3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318" t="s">
        <v>68</v>
      </c>
      <c r="B23" s="391">
        <f>'Variabili per unità misura'!B95</f>
        <v>0</v>
      </c>
      <c r="C23" s="126" t="e">
        <f t="shared" si="1"/>
        <v>#DIV/0!</v>
      </c>
      <c r="D23" s="3"/>
      <c r="E23" s="429"/>
      <c r="F23" s="31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318" t="s">
        <v>83</v>
      </c>
      <c r="B24" s="391">
        <f>'Variabili per unità misura'!B100</f>
        <v>0</v>
      </c>
      <c r="C24" s="126" t="e">
        <f t="shared" si="1"/>
        <v>#DIV/0!</v>
      </c>
      <c r="D24" s="3"/>
      <c r="E24" s="429"/>
      <c r="F24" s="3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27" t="s">
        <v>84</v>
      </c>
      <c r="B25" s="391">
        <f>'Variabili per unità misura'!B32*'Variabili per unità misura'!B103/1.22</f>
        <v>0</v>
      </c>
      <c r="C25" s="126" t="e">
        <f t="shared" si="1"/>
        <v>#DIV/0!</v>
      </c>
      <c r="D25" s="3"/>
      <c r="E25" s="429"/>
      <c r="F25" s="3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18" t="s">
        <v>85</v>
      </c>
      <c r="B26" s="391">
        <f>'Variabili per unità misura'!B31*'Variabili per unità misura'!B104/1.22</f>
        <v>0</v>
      </c>
      <c r="C26" s="126" t="e">
        <f t="shared" si="1"/>
        <v>#DIV/0!</v>
      </c>
      <c r="D26" s="3"/>
      <c r="E26" s="429"/>
      <c r="F26" s="31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318" t="s">
        <v>59</v>
      </c>
      <c r="B27" s="391">
        <f>('Variabili gestione Residenza'!B19*'Variabili gestione Residenza'!B41*'Variabili gestione Residenza'!B46+'Variabili gestione Residenza'!B28*'Variabili gestione Residenza'!B46*2*'Variabili gestione Residenza'!B41)/1.22</f>
        <v>0</v>
      </c>
      <c r="C27" s="126" t="e">
        <f t="shared" si="1"/>
        <v>#DIV/0!</v>
      </c>
      <c r="D27" s="3"/>
      <c r="E27" s="550" t="s">
        <v>260</v>
      </c>
      <c r="F27" s="551"/>
      <c r="G27" s="55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437" t="s">
        <v>223</v>
      </c>
      <c r="B28" s="391">
        <f>+'Variabili per unità misura'!B106*'Variabili per unità misura'!B32/1.22</f>
        <v>0</v>
      </c>
      <c r="C28" s="126" t="e">
        <f t="shared" si="1"/>
        <v>#DIV/0!</v>
      </c>
      <c r="D28" s="3"/>
      <c r="E28" s="429"/>
      <c r="F28" s="31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18" t="s">
        <v>87</v>
      </c>
      <c r="B29" s="391">
        <f>+'Variabili per unità misura'!B30*'Variabili per unità misura'!B107/1.22</f>
        <v>0</v>
      </c>
      <c r="C29" s="126" t="e">
        <f t="shared" si="1"/>
        <v>#DIV/0!</v>
      </c>
      <c r="D29" s="3"/>
      <c r="E29" s="42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318" t="s">
        <v>86</v>
      </c>
      <c r="B30" s="391">
        <f>(SUM(B25:B27)*'Variabili per unità misura'!B108)</f>
        <v>0</v>
      </c>
      <c r="C30" s="126" t="e">
        <f t="shared" si="1"/>
        <v>#DIV/0!</v>
      </c>
      <c r="D30" s="3"/>
      <c r="E30" s="429"/>
      <c r="F30" s="3"/>
      <c r="G30" s="43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3">
      <c r="A31" s="318" t="s">
        <v>89</v>
      </c>
      <c r="B31" s="391">
        <f>+'Variabili per unità misura'!B11</f>
        <v>0</v>
      </c>
      <c r="C31" s="126" t="e">
        <f t="shared" si="1"/>
        <v>#DIV/0!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3">
      <c r="A32" s="397" t="s">
        <v>215</v>
      </c>
      <c r="B32" s="398">
        <f>SUM(B22:B31)</f>
        <v>0</v>
      </c>
      <c r="C32" s="126" t="e">
        <f t="shared" si="1"/>
        <v>#DIV/0!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89"/>
      <c r="B33" s="390"/>
      <c r="C33" s="126" t="s">
        <v>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437" t="s">
        <v>266</v>
      </c>
      <c r="B34" s="391">
        <f>B51*'Variabili per unità misura'!B111</f>
        <v>0</v>
      </c>
      <c r="C34" s="126" t="e">
        <f>+B34/$B$39</f>
        <v>#DIV/0!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18"/>
      <c r="B35" s="391"/>
      <c r="C35" s="12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437" t="s">
        <v>267</v>
      </c>
      <c r="B36" s="391">
        <f>B53*'Variabili per unità misura'!B113</f>
        <v>0</v>
      </c>
      <c r="C36" s="1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18" t="s">
        <v>211</v>
      </c>
      <c r="B37" s="391">
        <f>B54*'Variabili per unità misura'!B114</f>
        <v>0</v>
      </c>
      <c r="C37" s="320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</row>
    <row r="38" spans="1:26" ht="13.5" customHeight="1" x14ac:dyDescent="0.3">
      <c r="A38" s="399" t="s">
        <v>90</v>
      </c>
      <c r="B38" s="400">
        <f>SUM(B34:B37)</f>
        <v>0</v>
      </c>
      <c r="C38" s="126" t="e">
        <f>+B38/$B$39</f>
        <v>#DIV/0!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401" t="s">
        <v>91</v>
      </c>
      <c r="B39" s="402">
        <f>B38+B32</f>
        <v>0</v>
      </c>
      <c r="C39" s="126" t="e">
        <f>+B39/$B$39</f>
        <v>#DIV/0!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403" t="s">
        <v>92</v>
      </c>
      <c r="B41" s="404">
        <f>(B15+B18-B39)</f>
        <v>0</v>
      </c>
      <c r="C41" s="8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438" t="s">
        <v>225</v>
      </c>
      <c r="B42" s="405">
        <f>+B41*D42</f>
        <v>0</v>
      </c>
      <c r="C42" s="89"/>
      <c r="D42" s="509"/>
      <c r="E42" s="430" t="s">
        <v>262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401" t="s">
        <v>93</v>
      </c>
      <c r="B43" s="402">
        <f>+B41-B42</f>
        <v>0</v>
      </c>
      <c r="C43" s="13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68"/>
      <c r="B44" s="89"/>
      <c r="C44" s="8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403" t="s">
        <v>94</v>
      </c>
      <c r="B45" s="419" t="e">
        <f>B41/B55</f>
        <v>#DIV/0!</v>
      </c>
      <c r="C45" s="13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94" t="s">
        <v>95</v>
      </c>
      <c r="B46" s="420" t="e">
        <f>+B43/B55</f>
        <v>#DIV/0!</v>
      </c>
      <c r="C46" s="6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81" t="s">
        <v>96</v>
      </c>
      <c r="B49" s="89"/>
      <c r="C49" s="8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27" t="s">
        <v>10</v>
      </c>
      <c r="B50" s="328"/>
      <c r="C50" s="12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27" t="str">
        <f>+'Variabili per unità misura'!A117</f>
        <v>Arredi Camere e Spazi Comuni</v>
      </c>
      <c r="B51" s="410">
        <f>'Variabili per unità misura'!$E$80*('Variabili gestione Residenza'!B10)</f>
        <v>0</v>
      </c>
      <c r="C51" s="126" t="e">
        <f>+B51/$B$55</f>
        <v>#DIV/0!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27"/>
      <c r="B52" s="411"/>
      <c r="C52" s="12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27" t="str">
        <f>+'Variabili per unità misura'!A119</f>
        <v xml:space="preserve">Arredi Bar </v>
      </c>
      <c r="B53" s="411">
        <f>+'Variabili per unità misura'!B119</f>
        <v>0</v>
      </c>
      <c r="C53" s="126" t="e">
        <f>+B53/$B$55</f>
        <v>#DIV/0!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27" t="str">
        <f>+'Variabili per unità misura'!A120</f>
        <v>Arredi Palestra</v>
      </c>
      <c r="B54" s="411">
        <f>+'Variabili per unità misura'!B120</f>
        <v>0</v>
      </c>
      <c r="C54" s="126" t="e">
        <f>+B54/$B$55</f>
        <v>#DIV/0!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1" t="s">
        <v>97</v>
      </c>
      <c r="B55" s="417">
        <f>SUM(B50:B54)</f>
        <v>0</v>
      </c>
      <c r="C55" s="126" t="e">
        <f>+B55/$B$55</f>
        <v>#DIV/0!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51" t="s">
        <v>49</v>
      </c>
      <c r="B56" s="476">
        <f>+B55*0.22</f>
        <v>0</v>
      </c>
      <c r="C56" s="8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1" t="s">
        <v>98</v>
      </c>
      <c r="B57" s="418">
        <f>B56+B55</f>
        <v>0</v>
      </c>
      <c r="C57" s="13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/>
    <row r="259" spans="1:26" ht="15.75" customHeight="1" x14ac:dyDescent="0.3"/>
    <row r="260" spans="1:26" ht="15.75" customHeight="1" x14ac:dyDescent="0.3"/>
    <row r="261" spans="1:26" ht="15.75" customHeight="1" x14ac:dyDescent="0.3"/>
    <row r="262" spans="1:26" ht="15.75" customHeight="1" x14ac:dyDescent="0.3"/>
    <row r="263" spans="1:26" ht="15.75" customHeight="1" x14ac:dyDescent="0.3"/>
    <row r="264" spans="1:26" ht="15.75" customHeight="1" x14ac:dyDescent="0.3"/>
    <row r="265" spans="1:26" ht="15.75" customHeight="1" x14ac:dyDescent="0.3"/>
    <row r="266" spans="1:26" ht="15.75" customHeight="1" x14ac:dyDescent="0.3"/>
    <row r="267" spans="1:26" ht="15.75" customHeight="1" x14ac:dyDescent="0.3"/>
    <row r="268" spans="1:26" ht="15.75" customHeight="1" x14ac:dyDescent="0.3"/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sheetProtection password="EA95" sheet="1" objects="1" scenarios="1"/>
  <mergeCells count="5">
    <mergeCell ref="A1:G1"/>
    <mergeCell ref="A3:G3"/>
    <mergeCell ref="A4:G4"/>
    <mergeCell ref="A5:G5"/>
    <mergeCell ref="E27:G27"/>
  </mergeCells>
  <pageMargins left="0.70866141732283472" right="0.70866141732283472" top="0.74803149606299213" bottom="0.74803149606299213" header="0" footer="0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16" workbookViewId="0">
      <selection activeCell="J6" sqref="J6"/>
    </sheetView>
  </sheetViews>
  <sheetFormatPr defaultColWidth="12.625" defaultRowHeight="15" customHeight="1" x14ac:dyDescent="0.3"/>
  <cols>
    <col min="1" max="1" width="32.625" bestFit="1" customWidth="1"/>
    <col min="2" max="2" width="9.5" customWidth="1"/>
    <col min="3" max="8" width="8.375" customWidth="1"/>
    <col min="9" max="26" width="5.625" customWidth="1"/>
  </cols>
  <sheetData>
    <row r="1" spans="1:26" ht="18" customHeight="1" x14ac:dyDescent="0.3">
      <c r="A1" s="555" t="s">
        <v>226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 x14ac:dyDescent="0.3">
      <c r="A2" s="5"/>
      <c r="B2" s="5"/>
      <c r="C2" s="5"/>
      <c r="D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2.6" customHeight="1" x14ac:dyDescent="0.3">
      <c r="A3" s="556" t="s">
        <v>227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3">
      <c r="A4" s="21"/>
      <c r="B4" s="13">
        <v>0</v>
      </c>
      <c r="C4" s="13">
        <f t="shared" ref="C4:H4" si="0">+B4+1</f>
        <v>1</v>
      </c>
      <c r="D4" s="13">
        <f t="shared" si="0"/>
        <v>2</v>
      </c>
      <c r="E4" s="13">
        <f t="shared" si="0"/>
        <v>3</v>
      </c>
      <c r="F4" s="13">
        <f t="shared" si="0"/>
        <v>4</v>
      </c>
      <c r="G4" s="13">
        <f t="shared" si="0"/>
        <v>5</v>
      </c>
      <c r="H4" s="13">
        <f t="shared" si="0"/>
        <v>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3">
      <c r="A5" s="51" t="s">
        <v>12</v>
      </c>
      <c r="B5" s="141"/>
      <c r="C5" s="141"/>
      <c r="D5" s="141"/>
      <c r="E5" s="141"/>
      <c r="F5" s="141"/>
      <c r="G5" s="108"/>
      <c r="H5" s="10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3">
      <c r="A6" s="21" t="s">
        <v>15</v>
      </c>
      <c r="B6" s="142"/>
      <c r="C6" s="142">
        <v>1</v>
      </c>
      <c r="D6" s="142">
        <f t="shared" ref="D6:H6" si="1">D$15</f>
        <v>1</v>
      </c>
      <c r="E6" s="142">
        <f t="shared" si="1"/>
        <v>1</v>
      </c>
      <c r="F6" s="142">
        <f t="shared" si="1"/>
        <v>1</v>
      </c>
      <c r="G6" s="142">
        <f t="shared" si="1"/>
        <v>1</v>
      </c>
      <c r="H6" s="142">
        <f t="shared" si="1"/>
        <v>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3">
      <c r="A7" s="127" t="s">
        <v>73</v>
      </c>
      <c r="B7" s="113"/>
      <c r="C7" s="477">
        <v>1</v>
      </c>
      <c r="D7" s="477">
        <f t="shared" ref="D7:H7" si="2">D$15</f>
        <v>1</v>
      </c>
      <c r="E7" s="477">
        <f t="shared" si="2"/>
        <v>1</v>
      </c>
      <c r="F7" s="477">
        <f t="shared" si="2"/>
        <v>1</v>
      </c>
      <c r="G7" s="477">
        <f t="shared" si="2"/>
        <v>1</v>
      </c>
      <c r="H7" s="477">
        <f t="shared" si="2"/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3">
      <c r="A8" s="127"/>
      <c r="B8" s="113"/>
      <c r="C8" s="477" t="s">
        <v>10</v>
      </c>
      <c r="D8" s="477" t="s">
        <v>10</v>
      </c>
      <c r="E8" s="477" t="s">
        <v>10</v>
      </c>
      <c r="F8" s="477" t="s">
        <v>10</v>
      </c>
      <c r="G8" s="477" t="s">
        <v>10</v>
      </c>
      <c r="H8" s="477" t="s">
        <v>10</v>
      </c>
      <c r="I8" s="3" t="s">
        <v>199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3">
      <c r="A9" s="27" t="s">
        <v>16</v>
      </c>
      <c r="B9" s="113"/>
      <c r="C9" s="477">
        <v>1</v>
      </c>
      <c r="D9" s="477">
        <f t="shared" ref="D9:H9" si="3">D$15</f>
        <v>1</v>
      </c>
      <c r="E9" s="477">
        <f t="shared" si="3"/>
        <v>1</v>
      </c>
      <c r="F9" s="477">
        <f t="shared" si="3"/>
        <v>1</v>
      </c>
      <c r="G9" s="477">
        <f t="shared" si="3"/>
        <v>1</v>
      </c>
      <c r="H9" s="477">
        <f t="shared" si="3"/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127" t="s">
        <v>77</v>
      </c>
      <c r="B10" s="113"/>
      <c r="C10" s="477">
        <v>1</v>
      </c>
      <c r="D10" s="477">
        <f t="shared" ref="D10:H10" si="4">D$15</f>
        <v>1</v>
      </c>
      <c r="E10" s="477">
        <f t="shared" si="4"/>
        <v>1</v>
      </c>
      <c r="F10" s="477">
        <f t="shared" si="4"/>
        <v>1</v>
      </c>
      <c r="G10" s="477">
        <f t="shared" si="4"/>
        <v>1</v>
      </c>
      <c r="H10" s="477">
        <f t="shared" si="4"/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127"/>
      <c r="B11" s="113"/>
      <c r="C11" s="477" t="s">
        <v>10</v>
      </c>
      <c r="D11" s="477" t="s">
        <v>10</v>
      </c>
      <c r="E11" s="477" t="s">
        <v>10</v>
      </c>
      <c r="F11" s="477" t="s">
        <v>10</v>
      </c>
      <c r="G11" s="477" t="s">
        <v>10</v>
      </c>
      <c r="H11" s="477" t="s">
        <v>10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27" t="s">
        <v>19</v>
      </c>
      <c r="B12" s="113"/>
      <c r="C12" s="477">
        <v>1</v>
      </c>
      <c r="D12" s="477">
        <f t="shared" ref="D12:H12" si="5">D$15</f>
        <v>1</v>
      </c>
      <c r="E12" s="477">
        <f t="shared" si="5"/>
        <v>1</v>
      </c>
      <c r="F12" s="477">
        <f t="shared" si="5"/>
        <v>1</v>
      </c>
      <c r="G12" s="477">
        <f t="shared" si="5"/>
        <v>1</v>
      </c>
      <c r="H12" s="477">
        <f t="shared" si="5"/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3">
      <c r="A13" s="127" t="s">
        <v>78</v>
      </c>
      <c r="B13" s="113"/>
      <c r="C13" s="477">
        <v>1</v>
      </c>
      <c r="D13" s="477">
        <f t="shared" ref="D13:H13" si="6">D$15</f>
        <v>1</v>
      </c>
      <c r="E13" s="477">
        <f t="shared" si="6"/>
        <v>1</v>
      </c>
      <c r="F13" s="477">
        <f t="shared" si="6"/>
        <v>1</v>
      </c>
      <c r="G13" s="477">
        <f t="shared" si="6"/>
        <v>1</v>
      </c>
      <c r="H13" s="477">
        <f t="shared" si="6"/>
        <v>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3">
      <c r="A14" s="127"/>
      <c r="B14" s="113"/>
      <c r="C14" s="477" t="s">
        <v>10</v>
      </c>
      <c r="D14" s="477" t="s">
        <v>10</v>
      </c>
      <c r="E14" s="477" t="s">
        <v>10</v>
      </c>
      <c r="F14" s="477" t="s">
        <v>10</v>
      </c>
      <c r="G14" s="477" t="s">
        <v>10</v>
      </c>
      <c r="H14" s="477" t="s">
        <v>10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3">
      <c r="A15" s="331" t="s">
        <v>99</v>
      </c>
      <c r="B15" s="481"/>
      <c r="C15" s="482">
        <v>1</v>
      </c>
      <c r="D15" s="482">
        <v>1</v>
      </c>
      <c r="E15" s="482">
        <v>1</v>
      </c>
      <c r="F15" s="482">
        <v>1</v>
      </c>
      <c r="G15" s="482">
        <v>1</v>
      </c>
      <c r="H15" s="482">
        <v>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3">
      <c r="A16" s="311" t="s">
        <v>200</v>
      </c>
      <c r="B16" s="483"/>
      <c r="C16" s="484">
        <v>1</v>
      </c>
      <c r="D16" s="484">
        <f t="shared" ref="D16:H16" si="7">D18</f>
        <v>1</v>
      </c>
      <c r="E16" s="484">
        <f t="shared" si="7"/>
        <v>1</v>
      </c>
      <c r="F16" s="484">
        <f t="shared" si="7"/>
        <v>1</v>
      </c>
      <c r="G16" s="484">
        <f t="shared" si="7"/>
        <v>1</v>
      </c>
      <c r="H16" s="484">
        <f t="shared" si="7"/>
        <v>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311" t="s">
        <v>201</v>
      </c>
      <c r="B17" s="485"/>
      <c r="C17" s="486">
        <v>1</v>
      </c>
      <c r="D17" s="486">
        <f>+C17</f>
        <v>1</v>
      </c>
      <c r="E17" s="486">
        <f>+D17</f>
        <v>1</v>
      </c>
      <c r="F17" s="486">
        <f>+E17</f>
        <v>1</v>
      </c>
      <c r="G17" s="486">
        <f>+F17</f>
        <v>1</v>
      </c>
      <c r="H17" s="486">
        <f>+G17</f>
        <v>1</v>
      </c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</row>
    <row r="18" spans="1:26" ht="13.5" customHeight="1" x14ac:dyDescent="0.3">
      <c r="A18" s="331" t="s">
        <v>100</v>
      </c>
      <c r="B18" s="481"/>
      <c r="C18" s="487">
        <v>1</v>
      </c>
      <c r="D18" s="487">
        <v>1</v>
      </c>
      <c r="E18" s="487">
        <v>1</v>
      </c>
      <c r="F18" s="487">
        <v>1</v>
      </c>
      <c r="G18" s="487">
        <v>1</v>
      </c>
      <c r="H18" s="487">
        <v>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3"/>
      <c r="B19" s="488"/>
      <c r="C19" s="488"/>
      <c r="D19" s="488"/>
      <c r="E19" s="488"/>
      <c r="F19" s="488"/>
      <c r="G19" s="488"/>
      <c r="H19" s="48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21" t="s">
        <v>96</v>
      </c>
      <c r="B20" s="489"/>
      <c r="C20" s="489"/>
      <c r="D20" s="489"/>
      <c r="E20" s="489"/>
      <c r="F20" s="489"/>
      <c r="G20" s="490"/>
      <c r="H20" s="49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27" t="str">
        <f>+'Variabili per unità misura'!A117</f>
        <v>Arredi Camere e Spazi Comuni</v>
      </c>
      <c r="B21" s="491">
        <v>1</v>
      </c>
      <c r="C21" s="491"/>
      <c r="D21" s="491"/>
      <c r="E21" s="491"/>
      <c r="F21" s="491"/>
      <c r="G21" s="491"/>
      <c r="H21" s="49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27"/>
      <c r="B22" s="491"/>
      <c r="C22" s="491"/>
      <c r="D22" s="491"/>
      <c r="E22" s="491"/>
      <c r="F22" s="491"/>
      <c r="G22" s="491"/>
      <c r="H22" s="49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27" t="str">
        <f>+'Variabili per unità misura'!A119</f>
        <v xml:space="preserve">Arredi Bar </v>
      </c>
      <c r="B23" s="491">
        <v>1</v>
      </c>
      <c r="C23" s="491"/>
      <c r="D23" s="491"/>
      <c r="E23" s="491"/>
      <c r="F23" s="491"/>
      <c r="G23" s="491"/>
      <c r="H23" s="49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27" t="str">
        <f>+'Variabili per unità misura'!A120</f>
        <v>Arredi Palestra</v>
      </c>
      <c r="B24" s="491">
        <v>1</v>
      </c>
      <c r="C24" s="491"/>
      <c r="D24" s="491"/>
      <c r="E24" s="491"/>
      <c r="F24" s="491"/>
      <c r="G24" s="491"/>
      <c r="H24" s="49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103" t="s">
        <v>10</v>
      </c>
      <c r="B25" s="492" t="s">
        <v>10</v>
      </c>
      <c r="C25" s="492" t="s">
        <v>10</v>
      </c>
      <c r="D25" s="492" t="s">
        <v>10</v>
      </c>
      <c r="E25" s="492" t="s">
        <v>10</v>
      </c>
      <c r="F25" s="492" t="s">
        <v>10</v>
      </c>
      <c r="G25" s="492" t="s">
        <v>10</v>
      </c>
      <c r="H25" s="492" t="s">
        <v>10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3"/>
      <c r="B26" s="510"/>
      <c r="C26" s="510"/>
      <c r="D26" s="510"/>
      <c r="E26" s="510"/>
      <c r="F26" s="510"/>
      <c r="G26" s="510"/>
      <c r="H26" s="51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21" t="s">
        <v>62</v>
      </c>
      <c r="B27" s="493"/>
      <c r="C27" s="525">
        <v>1</v>
      </c>
      <c r="D27" s="525">
        <v>1</v>
      </c>
      <c r="E27" s="525">
        <v>1</v>
      </c>
      <c r="F27" s="493">
        <v>1</v>
      </c>
      <c r="G27" s="491">
        <v>1</v>
      </c>
      <c r="H27" s="491">
        <v>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21" t="s">
        <v>57</v>
      </c>
      <c r="B28" s="142">
        <f t="shared" ref="B28:H28" si="8">B$27</f>
        <v>0</v>
      </c>
      <c r="C28" s="142">
        <f t="shared" si="8"/>
        <v>1</v>
      </c>
      <c r="D28" s="142">
        <f t="shared" si="8"/>
        <v>1</v>
      </c>
      <c r="E28" s="142">
        <f t="shared" si="8"/>
        <v>1</v>
      </c>
      <c r="F28" s="142">
        <f t="shared" si="8"/>
        <v>1</v>
      </c>
      <c r="G28" s="142">
        <f t="shared" si="8"/>
        <v>1</v>
      </c>
      <c r="H28" s="142">
        <f t="shared" si="8"/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27" t="s">
        <v>68</v>
      </c>
      <c r="B29" s="113">
        <f t="shared" ref="B29:H29" si="9">B$27</f>
        <v>0</v>
      </c>
      <c r="C29" s="113">
        <f t="shared" si="9"/>
        <v>1</v>
      </c>
      <c r="D29" s="113">
        <f t="shared" si="9"/>
        <v>1</v>
      </c>
      <c r="E29" s="113">
        <f t="shared" si="9"/>
        <v>1</v>
      </c>
      <c r="F29" s="113">
        <f t="shared" si="9"/>
        <v>1</v>
      </c>
      <c r="G29" s="113">
        <f t="shared" si="9"/>
        <v>1</v>
      </c>
      <c r="H29" s="113">
        <f t="shared" si="9"/>
        <v>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27" t="s">
        <v>83</v>
      </c>
      <c r="B30" s="113">
        <f t="shared" ref="B30:H31" si="10">B$27</f>
        <v>0</v>
      </c>
      <c r="C30" s="113">
        <f t="shared" si="10"/>
        <v>1</v>
      </c>
      <c r="D30" s="113">
        <f t="shared" si="10"/>
        <v>1</v>
      </c>
      <c r="E30" s="113">
        <f t="shared" si="10"/>
        <v>1</v>
      </c>
      <c r="F30" s="113">
        <f t="shared" si="10"/>
        <v>1</v>
      </c>
      <c r="G30" s="113">
        <f t="shared" si="10"/>
        <v>1</v>
      </c>
      <c r="H30" s="113">
        <f t="shared" si="10"/>
        <v>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27" t="s">
        <v>84</v>
      </c>
      <c r="B31" s="113">
        <f t="shared" ref="B31" si="11">B$27</f>
        <v>0</v>
      </c>
      <c r="C31" s="113">
        <v>1</v>
      </c>
      <c r="D31" s="113">
        <v>1</v>
      </c>
      <c r="E31" s="113">
        <v>1</v>
      </c>
      <c r="F31" s="113">
        <f t="shared" si="10"/>
        <v>1</v>
      </c>
      <c r="G31" s="113">
        <f t="shared" si="10"/>
        <v>1</v>
      </c>
      <c r="H31" s="113">
        <f t="shared" si="10"/>
        <v>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27" t="s">
        <v>85</v>
      </c>
      <c r="B32" s="113">
        <f t="shared" ref="B32:H32" si="12">B$27</f>
        <v>0</v>
      </c>
      <c r="C32" s="113">
        <f t="shared" si="12"/>
        <v>1</v>
      </c>
      <c r="D32" s="113">
        <f t="shared" si="12"/>
        <v>1</v>
      </c>
      <c r="E32" s="113">
        <f t="shared" si="12"/>
        <v>1</v>
      </c>
      <c r="F32" s="113">
        <f t="shared" si="12"/>
        <v>1</v>
      </c>
      <c r="G32" s="113">
        <f t="shared" si="12"/>
        <v>1</v>
      </c>
      <c r="H32" s="113">
        <f t="shared" si="12"/>
        <v>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27" t="s">
        <v>59</v>
      </c>
      <c r="B33" s="113">
        <f t="shared" ref="B33:H33" si="13">B$27</f>
        <v>0</v>
      </c>
      <c r="C33" s="113">
        <f t="shared" si="13"/>
        <v>1</v>
      </c>
      <c r="D33" s="113">
        <f t="shared" si="13"/>
        <v>1</v>
      </c>
      <c r="E33" s="113">
        <f t="shared" si="13"/>
        <v>1</v>
      </c>
      <c r="F33" s="113">
        <f t="shared" si="13"/>
        <v>1</v>
      </c>
      <c r="G33" s="113">
        <f t="shared" si="13"/>
        <v>1</v>
      </c>
      <c r="H33" s="113">
        <f t="shared" si="13"/>
        <v>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430" t="s">
        <v>223</v>
      </c>
      <c r="B34" s="113">
        <f t="shared" ref="B34:H34" si="14">B$27</f>
        <v>0</v>
      </c>
      <c r="C34" s="113">
        <f t="shared" si="14"/>
        <v>1</v>
      </c>
      <c r="D34" s="113">
        <f t="shared" si="14"/>
        <v>1</v>
      </c>
      <c r="E34" s="113">
        <f t="shared" si="14"/>
        <v>1</v>
      </c>
      <c r="F34" s="113">
        <f t="shared" si="14"/>
        <v>1</v>
      </c>
      <c r="G34" s="113">
        <f t="shared" si="14"/>
        <v>1</v>
      </c>
      <c r="H34" s="113">
        <f t="shared" si="14"/>
        <v>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" t="s">
        <v>87</v>
      </c>
      <c r="B35" s="113">
        <f t="shared" ref="B35:H35" si="15">B$27</f>
        <v>0</v>
      </c>
      <c r="C35" s="113">
        <f t="shared" si="15"/>
        <v>1</v>
      </c>
      <c r="D35" s="113">
        <f t="shared" si="15"/>
        <v>1</v>
      </c>
      <c r="E35" s="113">
        <f t="shared" si="15"/>
        <v>1</v>
      </c>
      <c r="F35" s="113">
        <f t="shared" si="15"/>
        <v>1</v>
      </c>
      <c r="G35" s="113">
        <f t="shared" si="15"/>
        <v>1</v>
      </c>
      <c r="H35" s="113">
        <f t="shared" si="15"/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103" t="s">
        <v>86</v>
      </c>
      <c r="B36" s="143">
        <f t="shared" ref="B36:H36" si="16">B$27</f>
        <v>0</v>
      </c>
      <c r="C36" s="143">
        <f t="shared" si="16"/>
        <v>1</v>
      </c>
      <c r="D36" s="143">
        <f t="shared" si="16"/>
        <v>1</v>
      </c>
      <c r="E36" s="143">
        <f t="shared" si="16"/>
        <v>1</v>
      </c>
      <c r="F36" s="143">
        <f t="shared" si="16"/>
        <v>1</v>
      </c>
      <c r="G36" s="143">
        <f t="shared" si="16"/>
        <v>1</v>
      </c>
      <c r="H36" s="143">
        <f t="shared" si="16"/>
        <v>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135" t="s">
        <v>101</v>
      </c>
      <c r="B37" s="113"/>
      <c r="C37" s="113"/>
      <c r="D37" s="113"/>
      <c r="E37" s="113"/>
      <c r="F37" s="113"/>
      <c r="G37" s="113"/>
      <c r="H37" s="11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135"/>
      <c r="B38" s="113"/>
      <c r="C38" s="113"/>
      <c r="D38" s="113"/>
      <c r="E38" s="113"/>
      <c r="F38" s="113"/>
      <c r="G38" s="113"/>
      <c r="H38" s="11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406" t="s">
        <v>72</v>
      </c>
      <c r="B39" s="407">
        <f t="shared" ref="B39:H39" si="17">B$27</f>
        <v>0</v>
      </c>
      <c r="C39" s="407">
        <f t="shared" si="17"/>
        <v>1</v>
      </c>
      <c r="D39" s="407">
        <f t="shared" si="17"/>
        <v>1</v>
      </c>
      <c r="E39" s="407">
        <f t="shared" si="17"/>
        <v>1</v>
      </c>
      <c r="F39" s="407">
        <f t="shared" si="17"/>
        <v>1</v>
      </c>
      <c r="G39" s="407">
        <f t="shared" si="17"/>
        <v>1</v>
      </c>
      <c r="H39" s="407">
        <f t="shared" si="17"/>
        <v>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11" t="s">
        <v>75</v>
      </c>
      <c r="B40" s="314">
        <f t="shared" ref="B40:H40" si="18">B$27</f>
        <v>0</v>
      </c>
      <c r="C40" s="314">
        <f t="shared" si="18"/>
        <v>1</v>
      </c>
      <c r="D40" s="314">
        <f t="shared" si="18"/>
        <v>1</v>
      </c>
      <c r="E40" s="314">
        <f t="shared" si="18"/>
        <v>1</v>
      </c>
      <c r="F40" s="314">
        <f t="shared" si="18"/>
        <v>1</v>
      </c>
      <c r="G40" s="314">
        <f t="shared" si="18"/>
        <v>1</v>
      </c>
      <c r="H40" s="314">
        <f t="shared" si="18"/>
        <v>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11" t="s">
        <v>76</v>
      </c>
      <c r="B41" s="314">
        <f t="shared" ref="B41:H42" si="19">B$27</f>
        <v>0</v>
      </c>
      <c r="C41" s="314">
        <f t="shared" si="19"/>
        <v>1</v>
      </c>
      <c r="D41" s="314">
        <f t="shared" si="19"/>
        <v>1</v>
      </c>
      <c r="E41" s="314">
        <f t="shared" si="19"/>
        <v>1</v>
      </c>
      <c r="F41" s="314">
        <f t="shared" si="19"/>
        <v>1</v>
      </c>
      <c r="G41" s="314">
        <f t="shared" si="19"/>
        <v>1</v>
      </c>
      <c r="H41" s="314">
        <f t="shared" si="19"/>
        <v>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408" t="s">
        <v>212</v>
      </c>
      <c r="B42" s="409">
        <f t="shared" si="19"/>
        <v>0</v>
      </c>
      <c r="C42" s="409">
        <f t="shared" si="19"/>
        <v>1</v>
      </c>
      <c r="D42" s="409">
        <f t="shared" si="19"/>
        <v>1</v>
      </c>
      <c r="E42" s="409">
        <f t="shared" si="19"/>
        <v>1</v>
      </c>
      <c r="F42" s="409">
        <f t="shared" si="19"/>
        <v>1</v>
      </c>
      <c r="G42" s="409">
        <f t="shared" si="19"/>
        <v>1</v>
      </c>
      <c r="H42" s="409">
        <f t="shared" si="19"/>
        <v>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"/>
    <row r="243" spans="1:26" ht="15.75" customHeight="1" x14ac:dyDescent="0.3"/>
    <row r="244" spans="1:26" ht="15.75" customHeight="1" x14ac:dyDescent="0.3"/>
    <row r="245" spans="1:26" ht="15.75" customHeight="1" x14ac:dyDescent="0.3"/>
    <row r="246" spans="1:26" ht="15.75" customHeight="1" x14ac:dyDescent="0.3"/>
    <row r="247" spans="1:26" ht="15.75" customHeight="1" x14ac:dyDescent="0.3"/>
    <row r="248" spans="1:26" ht="15.75" customHeight="1" x14ac:dyDescent="0.3"/>
    <row r="249" spans="1:26" ht="15.75" customHeight="1" x14ac:dyDescent="0.3"/>
    <row r="250" spans="1:26" ht="15.75" customHeight="1" x14ac:dyDescent="0.3"/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sheetProtection password="EA95" sheet="1" objects="1" scenarios="1"/>
  <mergeCells count="2">
    <mergeCell ref="A1:K1"/>
    <mergeCell ref="A3:K3"/>
  </mergeCells>
  <pageMargins left="0.70866141732283472" right="0.70866141732283472" top="0.74803149606299213" bottom="0.74803149606299213" header="0" footer="0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workbookViewId="0">
      <pane xSplit="1" ySplit="8" topLeftCell="B48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ColWidth="12.625" defaultRowHeight="15" customHeight="1" x14ac:dyDescent="0.3"/>
  <cols>
    <col min="1" max="1" width="38.125" customWidth="1"/>
    <col min="2" max="2" width="14.875" bestFit="1" customWidth="1"/>
    <col min="3" max="3" width="17.5" customWidth="1"/>
    <col min="4" max="8" width="13.375" bestFit="1" customWidth="1"/>
    <col min="9" max="9" width="5.625" customWidth="1"/>
    <col min="10" max="10" width="51" customWidth="1"/>
    <col min="11" max="26" width="5.625" customWidth="1"/>
  </cols>
  <sheetData>
    <row r="1" spans="1:26" ht="20.25" x14ac:dyDescent="0.3">
      <c r="A1" s="542" t="s">
        <v>226</v>
      </c>
      <c r="B1" s="542"/>
      <c r="C1" s="542"/>
      <c r="D1" s="542"/>
      <c r="E1" s="542"/>
      <c r="F1" s="542"/>
      <c r="G1" s="542"/>
      <c r="H1" s="511"/>
      <c r="I1" s="511"/>
      <c r="J1" s="511"/>
    </row>
    <row r="2" spans="1:26" ht="15" customHeight="1" x14ac:dyDescent="0.3">
      <c r="A2" s="512"/>
      <c r="B2" s="512"/>
      <c r="C2" s="512"/>
      <c r="D2" s="512"/>
      <c r="E2" s="511"/>
      <c r="F2" s="511"/>
      <c r="G2" s="511"/>
      <c r="H2" s="511"/>
      <c r="I2" s="511"/>
      <c r="J2" s="511"/>
    </row>
    <row r="3" spans="1:26" ht="40.5" customHeight="1" x14ac:dyDescent="0.3">
      <c r="A3" s="534" t="s">
        <v>227</v>
      </c>
      <c r="B3" s="534"/>
      <c r="C3" s="534"/>
      <c r="D3" s="534"/>
      <c r="E3" s="534"/>
      <c r="F3" s="534"/>
      <c r="G3" s="534"/>
      <c r="H3" s="511"/>
      <c r="I3" s="511"/>
      <c r="J3" s="511"/>
    </row>
    <row r="4" spans="1:26" ht="20.25" x14ac:dyDescent="0.3">
      <c r="A4" s="558" t="s">
        <v>102</v>
      </c>
      <c r="B4" s="558"/>
      <c r="C4" s="558"/>
      <c r="D4" s="55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3">
      <c r="A5" s="557" t="s">
        <v>250</v>
      </c>
      <c r="B5" s="557"/>
      <c r="C5" s="557"/>
      <c r="D5" s="55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3">
      <c r="A6" s="557" t="s">
        <v>70</v>
      </c>
      <c r="B6" s="557"/>
      <c r="C6" s="557"/>
      <c r="D6" s="55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3">
      <c r="A7" s="513"/>
      <c r="B7" s="514"/>
      <c r="C7" s="514"/>
      <c r="D7" s="514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</row>
    <row r="8" spans="1:26" ht="13.5" customHeight="1" x14ac:dyDescent="0.3">
      <c r="A8" s="131"/>
      <c r="B8" s="144">
        <v>0</v>
      </c>
      <c r="C8" s="145">
        <f t="shared" ref="C8:H8" si="0">B8+1</f>
        <v>1</v>
      </c>
      <c r="D8" s="145">
        <f t="shared" si="0"/>
        <v>2</v>
      </c>
      <c r="E8" s="145">
        <f t="shared" si="0"/>
        <v>3</v>
      </c>
      <c r="F8" s="145">
        <f t="shared" si="0"/>
        <v>4</v>
      </c>
      <c r="G8" s="145">
        <f t="shared" si="0"/>
        <v>5</v>
      </c>
      <c r="H8" s="145">
        <f t="shared" si="0"/>
        <v>6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13.5" customHeight="1" x14ac:dyDescent="0.3">
      <c r="A9" s="146" t="s">
        <v>103</v>
      </c>
      <c r="B9" s="89"/>
      <c r="C9" s="89"/>
      <c r="D9" s="89"/>
      <c r="E9" s="89"/>
      <c r="F9" s="8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21" t="s">
        <v>196</v>
      </c>
      <c r="B10" s="147" t="s">
        <v>10</v>
      </c>
      <c r="C10" s="125"/>
      <c r="D10" s="125"/>
      <c r="E10" s="125"/>
      <c r="F10" s="125"/>
      <c r="G10" s="125"/>
      <c r="H10" s="12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416" t="s">
        <v>194</v>
      </c>
      <c r="B11" s="148">
        <f>'Var temp'!B7*'Costi-Ricavi_Anno1'!$B11</f>
        <v>0</v>
      </c>
      <c r="C11" s="128">
        <f>'Var temp'!C7*'Costi-Ricavi_Anno1'!$B11</f>
        <v>0</v>
      </c>
      <c r="D11" s="128">
        <f>'Var temp'!D7*'Costi-Ricavi_Anno1'!$B11</f>
        <v>0</v>
      </c>
      <c r="E11" s="128">
        <f>'Var temp'!E7*'Costi-Ricavi_Anno1'!$B11</f>
        <v>0</v>
      </c>
      <c r="F11" s="128">
        <f>'Var temp'!F7*'Costi-Ricavi_Anno1'!$B11</f>
        <v>0</v>
      </c>
      <c r="G11" s="128">
        <f t="shared" ref="G11:H11" si="1">F11</f>
        <v>0</v>
      </c>
      <c r="H11" s="128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416" t="s">
        <v>195</v>
      </c>
      <c r="B12" s="148">
        <f>'Var temp'!B7*'Costi-Ricavi_Anno1'!$B12</f>
        <v>0</v>
      </c>
      <c r="C12" s="128">
        <f>'Var temp'!C7*'Costi-Ricavi_Anno1'!$B12</f>
        <v>0</v>
      </c>
      <c r="D12" s="128">
        <f>'Var temp'!D7*'Costi-Ricavi_Anno1'!$B12</f>
        <v>0</v>
      </c>
      <c r="E12" s="128">
        <f>'Var temp'!E7*'Costi-Ricavi_Anno1'!$B12</f>
        <v>0</v>
      </c>
      <c r="F12" s="128">
        <f>'Var temp'!F7*'Costi-Ricavi_Anno1'!$B12</f>
        <v>0</v>
      </c>
      <c r="G12" s="128">
        <f>'Var temp'!G7*'Costi-Ricavi_Anno1'!$B12</f>
        <v>0</v>
      </c>
      <c r="H12" s="128">
        <f>'Var temp'!H7*'Costi-Ricavi_Anno1'!$B12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3">
      <c r="A13" s="27" t="s">
        <v>16</v>
      </c>
      <c r="B13" s="64">
        <f>'Var temp'!B9*'Costi-Ricavi_Anno1'!B13</f>
        <v>0</v>
      </c>
      <c r="C13" s="128">
        <f>'Var temp'!C10*'Costi-Ricavi_Anno1'!$B13</f>
        <v>0</v>
      </c>
      <c r="D13" s="128">
        <f>'Var temp'!D10*'Costi-Ricavi_Anno1'!$B13</f>
        <v>0</v>
      </c>
      <c r="E13" s="128">
        <f>'Var temp'!E10*'Costi-Ricavi_Anno1'!$B13</f>
        <v>0</v>
      </c>
      <c r="F13" s="128">
        <f>'Var temp'!F10*'Costi-Ricavi_Anno1'!$B13</f>
        <v>0</v>
      </c>
      <c r="G13" s="128">
        <f>F13</f>
        <v>0</v>
      </c>
      <c r="H13" s="128">
        <f>G13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3">
      <c r="A14" s="27" t="s">
        <v>19</v>
      </c>
      <c r="B14" s="64">
        <f>'Var temp'!B12*'Costi-Ricavi_Anno1'!B13</f>
        <v>0</v>
      </c>
      <c r="C14" s="128">
        <f>'Var temp'!C13*'Costi-Ricavi_Anno1'!$B14</f>
        <v>0</v>
      </c>
      <c r="D14" s="128">
        <f>'Var temp'!D13*'Costi-Ricavi_Anno1'!$B14</f>
        <v>0</v>
      </c>
      <c r="E14" s="128">
        <f>'Var temp'!E13*'Costi-Ricavi_Anno1'!$B14</f>
        <v>0</v>
      </c>
      <c r="F14" s="128">
        <f>'Var temp'!F13*'Costi-Ricavi_Anno1'!$B14</f>
        <v>0</v>
      </c>
      <c r="G14" s="128">
        <f>F14</f>
        <v>0</v>
      </c>
      <c r="H14" s="128">
        <f>G14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3">
      <c r="A15" s="31" t="s">
        <v>106</v>
      </c>
      <c r="B15" s="160">
        <f>SUM(B11:B14)</f>
        <v>0</v>
      </c>
      <c r="C15" s="161">
        <f>SUM(C11:C14)</f>
        <v>0</v>
      </c>
      <c r="D15" s="161">
        <f t="shared" ref="D15:H15" si="2">SUM(D11:D14)</f>
        <v>0</v>
      </c>
      <c r="E15" s="161">
        <f t="shared" si="2"/>
        <v>0</v>
      </c>
      <c r="F15" s="161">
        <f t="shared" si="2"/>
        <v>0</v>
      </c>
      <c r="G15" s="161">
        <f t="shared" si="2"/>
        <v>0</v>
      </c>
      <c r="H15" s="161">
        <f t="shared" si="2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3">
      <c r="A16" s="27" t="s">
        <v>213</v>
      </c>
      <c r="B16" s="64">
        <f>'Var temp'!B16*'Costi-Ricavi_Anno1'!$B16</f>
        <v>0</v>
      </c>
      <c r="C16" s="89">
        <f>'Var temp'!C16*'Costi-Ricavi_Anno1'!$B16</f>
        <v>0</v>
      </c>
      <c r="D16" s="89">
        <f>'Var temp'!D16*'Costi-Ricavi_Anno1'!$B16</f>
        <v>0</v>
      </c>
      <c r="E16" s="89">
        <f>'Var temp'!E16*'Costi-Ricavi_Anno1'!$B16</f>
        <v>0</v>
      </c>
      <c r="F16" s="89">
        <f>'Var temp'!F16*'Costi-Ricavi_Anno1'!$B16</f>
        <v>0</v>
      </c>
      <c r="G16" s="89">
        <f>F16</f>
        <v>0</v>
      </c>
      <c r="H16" s="89">
        <f>G16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27" t="s">
        <v>214</v>
      </c>
      <c r="B17" s="64">
        <f>'Var temp'!B17*'Costi-Ricavi_Anno1'!$B17</f>
        <v>0</v>
      </c>
      <c r="C17" s="89">
        <f>'Var temp'!C17*'Costi-Ricavi_Anno1'!$B17</f>
        <v>0</v>
      </c>
      <c r="D17" s="89">
        <f>'Var temp'!D17*'Costi-Ricavi_Anno1'!$B17</f>
        <v>0</v>
      </c>
      <c r="E17" s="89">
        <f>'Var temp'!E17*'Costi-Ricavi_Anno1'!$B17</f>
        <v>0</v>
      </c>
      <c r="F17" s="89">
        <f>'Var temp'!F17*'Costi-Ricavi_Anno1'!$B17</f>
        <v>0</v>
      </c>
      <c r="G17" s="89">
        <f>F17</f>
        <v>0</v>
      </c>
      <c r="H17" s="89">
        <f>G17</f>
        <v>0</v>
      </c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</row>
    <row r="18" spans="1:26" ht="13.5" customHeight="1" x14ac:dyDescent="0.3">
      <c r="A18" s="31" t="s">
        <v>100</v>
      </c>
      <c r="B18" s="166">
        <f>B16+B17</f>
        <v>0</v>
      </c>
      <c r="C18" s="133">
        <f>C16+C17</f>
        <v>0</v>
      </c>
      <c r="D18" s="133">
        <f t="shared" ref="D18:H18" si="3">D16+D17</f>
        <v>0</v>
      </c>
      <c r="E18" s="133">
        <f t="shared" si="3"/>
        <v>0</v>
      </c>
      <c r="F18" s="133">
        <f t="shared" si="3"/>
        <v>0</v>
      </c>
      <c r="G18" s="133">
        <f t="shared" si="3"/>
        <v>0</v>
      </c>
      <c r="H18" s="133">
        <f t="shared" si="3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134" t="s">
        <v>108</v>
      </c>
      <c r="B19" s="166">
        <f t="shared" ref="B19:H19" si="4">+B15+B18</f>
        <v>0</v>
      </c>
      <c r="C19" s="133">
        <f t="shared" si="4"/>
        <v>0</v>
      </c>
      <c r="D19" s="133">
        <f t="shared" si="4"/>
        <v>0</v>
      </c>
      <c r="E19" s="133">
        <f t="shared" si="4"/>
        <v>0</v>
      </c>
      <c r="F19" s="133">
        <f t="shared" si="4"/>
        <v>0</v>
      </c>
      <c r="G19" s="133">
        <f t="shared" si="4"/>
        <v>0</v>
      </c>
      <c r="H19" s="133">
        <f t="shared" si="4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169" t="s">
        <v>109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21" t="s">
        <v>57</v>
      </c>
      <c r="B22" s="139">
        <f>'Var temp'!B28*'Costi-Ricavi_Anno1'!$B22</f>
        <v>0</v>
      </c>
      <c r="C22" s="139">
        <f>'Var temp'!C28*'Costi-Ricavi_Anno1'!$B22</f>
        <v>0</v>
      </c>
      <c r="D22" s="125">
        <f>'Var temp'!D28*'Costi-Ricavi_Anno2e3'!$B22</f>
        <v>0</v>
      </c>
      <c r="E22" s="125">
        <f>'Var temp'!E28*'Costi-Ricavi_Anno2e3'!$B22</f>
        <v>0</v>
      </c>
      <c r="F22" s="125">
        <f>'Var temp'!F28*'Costi-Ricavi_Anno4_5_6'!$B22</f>
        <v>0</v>
      </c>
      <c r="G22" s="125">
        <f t="shared" ref="G22:H27" si="5">F22</f>
        <v>0</v>
      </c>
      <c r="H22" s="125">
        <f t="shared" si="5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27" t="s">
        <v>68</v>
      </c>
      <c r="B23" s="140">
        <f>'Var temp'!B29*'Costi-Ricavi_Anno1'!$B23</f>
        <v>0</v>
      </c>
      <c r="C23" s="140">
        <f>'Var temp'!C29*'Costi-Ricavi_Anno1'!$B23</f>
        <v>0</v>
      </c>
      <c r="D23" s="89">
        <f>'Var temp'!D29*'Costi-Ricavi_Anno2e3'!$B23</f>
        <v>0</v>
      </c>
      <c r="E23" s="89">
        <f>'Var temp'!E29*'Costi-Ricavi_Anno2e3'!$B23</f>
        <v>0</v>
      </c>
      <c r="F23" s="89">
        <f>'Var temp'!F29*'Costi-Ricavi_Anno4_5_6'!$B23</f>
        <v>0</v>
      </c>
      <c r="G23" s="89">
        <f t="shared" si="5"/>
        <v>0</v>
      </c>
      <c r="H23" s="89">
        <f t="shared" si="5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27" t="s">
        <v>83</v>
      </c>
      <c r="B24" s="140">
        <f>'Var temp'!B30*'Costi-Ricavi_Anno1'!$B24</f>
        <v>0</v>
      </c>
      <c r="C24" s="140">
        <f>'Var temp'!C30*'Costi-Ricavi_Anno1'!$B24</f>
        <v>0</v>
      </c>
      <c r="D24" s="89">
        <f>'Var temp'!D30*'Costi-Ricavi_Anno2e3'!$B24</f>
        <v>0</v>
      </c>
      <c r="E24" s="89">
        <f>'Var temp'!E30*'Costi-Ricavi_Anno2e3'!$B24</f>
        <v>0</v>
      </c>
      <c r="F24" s="89">
        <f>'Var temp'!F30*'Costi-Ricavi_Anno4_5_6'!$B24</f>
        <v>0</v>
      </c>
      <c r="G24" s="89">
        <f t="shared" si="5"/>
        <v>0</v>
      </c>
      <c r="H24" s="89">
        <f t="shared" si="5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2.75" x14ac:dyDescent="0.3">
      <c r="A25" s="27" t="s">
        <v>84</v>
      </c>
      <c r="B25" s="478">
        <f>'Var temp'!B31*'Costi-Ricavi_Anno1'!$B25</f>
        <v>0</v>
      </c>
      <c r="C25" s="89">
        <f>('Var temp'!C31*'Costi-Ricavi_Anno1'!$B25)</f>
        <v>0</v>
      </c>
      <c r="D25" s="89">
        <f>('Var temp'!D31*'Costi-Ricavi_Anno2e3'!$B25)</f>
        <v>0</v>
      </c>
      <c r="E25" s="89">
        <f>('Var temp'!E31*'Costi-Ricavi_Anno2e3'!$B25)</f>
        <v>0</v>
      </c>
      <c r="F25" s="89">
        <f>('Var temp'!F31*'Costi-Ricavi_Anno4_5_6'!$B25)</f>
        <v>0</v>
      </c>
      <c r="G25" s="89">
        <f>F25</f>
        <v>0</v>
      </c>
      <c r="H25" s="89">
        <f>G25</f>
        <v>0</v>
      </c>
      <c r="I25" s="3"/>
      <c r="J25" s="526" t="s">
        <v>251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27" t="s">
        <v>85</v>
      </c>
      <c r="B26" s="140">
        <f>'Var temp'!B32*'Costi-Ricavi_Anno1'!$B26</f>
        <v>0</v>
      </c>
      <c r="C26" s="140">
        <f>'Var temp'!C32*'Costi-Ricavi_Anno1'!$B26</f>
        <v>0</v>
      </c>
      <c r="D26" s="89">
        <f>'Var temp'!D32*'Costi-Ricavi_Anno2e3'!$B26</f>
        <v>0</v>
      </c>
      <c r="E26" s="89">
        <f>'Var temp'!E32*'Costi-Ricavi_Anno2e3'!$B26</f>
        <v>0</v>
      </c>
      <c r="F26" s="89">
        <f>'Var temp'!F32*'Costi-Ricavi_Anno4_5_6'!$B26</f>
        <v>0</v>
      </c>
      <c r="G26" s="89">
        <f t="shared" si="5"/>
        <v>0</v>
      </c>
      <c r="H26" s="89">
        <f t="shared" si="5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27" t="s">
        <v>59</v>
      </c>
      <c r="B27" s="140">
        <f>'Var temp'!B33*'Costi-Ricavi_Anno1'!$B27</f>
        <v>0</v>
      </c>
      <c r="C27" s="140">
        <f>'Var temp'!C33*'Costi-Ricavi_Anno1'!$B27</f>
        <v>0</v>
      </c>
      <c r="D27" s="89">
        <f>'Var temp'!D33*'Costi-Ricavi_Anno2e3'!$B27</f>
        <v>0</v>
      </c>
      <c r="E27" s="89">
        <f>'Var temp'!E33*'Costi-Ricavi_Anno2e3'!$B27</f>
        <v>0</v>
      </c>
      <c r="F27" s="89">
        <f>'Var temp'!F33*'Costi-Ricavi_Anno4_5_6'!$B27</f>
        <v>0</v>
      </c>
      <c r="G27" s="89">
        <f t="shared" si="5"/>
        <v>0</v>
      </c>
      <c r="H27" s="89">
        <f t="shared" si="5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430" t="s">
        <v>223</v>
      </c>
      <c r="B28" s="140">
        <f>'Var temp'!B36*'Costi-Ricavi_Anno1'!$B28</f>
        <v>0</v>
      </c>
      <c r="C28" s="140">
        <f>'Var temp'!C34*'Costi-Ricavi_Anno1'!$B28</f>
        <v>0</v>
      </c>
      <c r="D28" s="89">
        <f>'Var temp'!D34*'Costi-Ricavi_Anno2e3'!$B28</f>
        <v>0</v>
      </c>
      <c r="E28" s="89">
        <f>'Var temp'!E34*'Costi-Ricavi_Anno2e3'!$B28</f>
        <v>0</v>
      </c>
      <c r="F28" s="89">
        <f>'Var temp'!F34*'Costi-Ricavi_Anno4_5_6'!$B28</f>
        <v>0</v>
      </c>
      <c r="G28" s="89">
        <f t="shared" ref="G28:H30" si="6">F28</f>
        <v>0</v>
      </c>
      <c r="H28" s="89">
        <f t="shared" si="6"/>
        <v>0</v>
      </c>
      <c r="I28" s="494"/>
      <c r="J28" s="49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3" t="s">
        <v>87</v>
      </c>
      <c r="B29" s="140">
        <f>'Var temp'!B37*'Costi-Ricavi_Anno1'!$B29</f>
        <v>0</v>
      </c>
      <c r="C29" s="140">
        <f>'Var temp'!C35*'Costi-Ricavi_Anno1'!$B29</f>
        <v>0</v>
      </c>
      <c r="D29" s="89">
        <f>'Var temp'!D35*'Costi-Ricavi_Anno2e3'!$B29</f>
        <v>0</v>
      </c>
      <c r="E29" s="89">
        <f>'Var temp'!E35*'Costi-Ricavi_Anno2e3'!$B29</f>
        <v>0</v>
      </c>
      <c r="F29" s="89">
        <f>'Var temp'!F35*'Costi-Ricavi_Anno4_5_6'!$B29</f>
        <v>0</v>
      </c>
      <c r="G29" s="89">
        <f t="shared" si="6"/>
        <v>0</v>
      </c>
      <c r="H29" s="89">
        <f t="shared" si="6"/>
        <v>0</v>
      </c>
      <c r="I29" s="494"/>
      <c r="J29" s="49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27" t="s">
        <v>86</v>
      </c>
      <c r="B30" s="140">
        <f>'Var temp'!B36*'Costi-Ricavi_Anno1'!$B30</f>
        <v>0</v>
      </c>
      <c r="C30" s="140">
        <f>'Var temp'!C36*'Costi-Ricavi_Anno1'!$B30</f>
        <v>0</v>
      </c>
      <c r="D30" s="89">
        <f>'Var temp'!D36*'Costi-Ricavi_Anno2e3'!$B30</f>
        <v>0</v>
      </c>
      <c r="E30" s="89">
        <f>'Var temp'!E36*'Costi-Ricavi_Anno2e3'!$B30</f>
        <v>0</v>
      </c>
      <c r="F30" s="89">
        <f>'Var temp'!F36*'Costi-Ricavi_Anno4_5_6'!$B30</f>
        <v>0</v>
      </c>
      <c r="G30" s="89">
        <f t="shared" si="6"/>
        <v>0</v>
      </c>
      <c r="H30" s="89">
        <f t="shared" si="6"/>
        <v>0</v>
      </c>
      <c r="I30" s="494"/>
      <c r="J30" s="49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3" t="s">
        <v>88</v>
      </c>
      <c r="B31" s="89"/>
      <c r="C31" s="178">
        <f>+'Variabili per unità misura'!B11</f>
        <v>0</v>
      </c>
      <c r="D31" s="179">
        <f>+C31</f>
        <v>0</v>
      </c>
      <c r="E31" s="179">
        <f>+D31</f>
        <v>0</v>
      </c>
      <c r="F31" s="179">
        <f>+E31</f>
        <v>0</v>
      </c>
      <c r="G31" s="179">
        <f>+F31</f>
        <v>0</v>
      </c>
      <c r="H31" s="179">
        <f>+G31</f>
        <v>0</v>
      </c>
      <c r="I31" s="488"/>
      <c r="J31" s="49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134" t="s">
        <v>109</v>
      </c>
      <c r="B32" s="166">
        <f>SUM(B22:B30)</f>
        <v>0</v>
      </c>
      <c r="C32" s="133">
        <f t="shared" ref="C32:H32" si="7">SUM(C22:C31)</f>
        <v>0</v>
      </c>
      <c r="D32" s="133">
        <f t="shared" si="7"/>
        <v>0</v>
      </c>
      <c r="E32" s="133">
        <f t="shared" si="7"/>
        <v>0</v>
      </c>
      <c r="F32" s="133">
        <f t="shared" si="7"/>
        <v>0</v>
      </c>
      <c r="G32" s="133">
        <f t="shared" si="7"/>
        <v>0</v>
      </c>
      <c r="H32" s="133">
        <f t="shared" si="7"/>
        <v>0</v>
      </c>
      <c r="I32" s="494"/>
      <c r="J32" s="49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27"/>
      <c r="B33" s="89"/>
      <c r="C33" s="89"/>
      <c r="D33" s="89"/>
      <c r="E33" s="89"/>
      <c r="F33" s="89"/>
      <c r="G33" s="89" t="s">
        <v>10</v>
      </c>
      <c r="H33" s="89" t="s">
        <v>10</v>
      </c>
      <c r="I33" s="494"/>
      <c r="J33" s="49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146" t="s">
        <v>96</v>
      </c>
      <c r="B34" s="3"/>
      <c r="C34" s="89"/>
      <c r="D34" s="89"/>
      <c r="E34" s="89"/>
      <c r="F34" s="89"/>
      <c r="G34" s="89"/>
      <c r="H34" s="89"/>
      <c r="I34" s="494"/>
      <c r="J34" s="49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11" t="str">
        <f>+'Costi-Ricavi_Anno1'!A51</f>
        <v>Arredi Camere e Spazi Comuni</v>
      </c>
      <c r="B35" s="410">
        <f>+'Costi-Ricavi_Anno1'!B51</f>
        <v>0</v>
      </c>
      <c r="C35" s="412"/>
      <c r="D35" s="413"/>
      <c r="E35" s="413"/>
      <c r="F35" s="413"/>
      <c r="G35" s="413"/>
      <c r="H35" s="385"/>
      <c r="I35" s="494"/>
      <c r="J35" s="49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11"/>
      <c r="B36" s="411"/>
      <c r="C36" s="414"/>
      <c r="D36" s="328"/>
      <c r="E36" s="328"/>
      <c r="F36" s="328"/>
      <c r="G36" s="328"/>
      <c r="H36" s="391"/>
      <c r="I36" s="494"/>
      <c r="J36" s="49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11" t="str">
        <f>+'Costi-Ricavi_Anno1'!A53</f>
        <v xml:space="preserve">Arredi Bar </v>
      </c>
      <c r="B37" s="411">
        <f>+'Costi-Ricavi_Anno1'!B53</f>
        <v>0</v>
      </c>
      <c r="C37" s="414"/>
      <c r="D37" s="328"/>
      <c r="E37" s="328"/>
      <c r="F37" s="328"/>
      <c r="G37" s="328"/>
      <c r="H37" s="391"/>
      <c r="I37" s="494"/>
      <c r="J37" s="49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x14ac:dyDescent="0.3">
      <c r="A38" s="311" t="str">
        <f>+'Costi-Ricavi_Anno1'!A54</f>
        <v>Arredi Palestra</v>
      </c>
      <c r="B38" s="411">
        <f>+'Costi-Ricavi_Anno1'!B54</f>
        <v>0</v>
      </c>
      <c r="C38" s="414"/>
      <c r="D38" s="328"/>
      <c r="E38" s="328"/>
      <c r="F38" s="328"/>
      <c r="G38" s="328"/>
      <c r="H38" s="391"/>
      <c r="I38" s="511"/>
      <c r="J38" s="511"/>
    </row>
    <row r="39" spans="1:26" ht="13.5" customHeight="1" x14ac:dyDescent="0.3">
      <c r="A39" s="382" t="s">
        <v>121</v>
      </c>
      <c r="B39" s="380">
        <f>SUM(B35:B38)</f>
        <v>0</v>
      </c>
      <c r="C39" s="415">
        <f t="shared" ref="C39:H39" si="8">SUM(C35)</f>
        <v>0</v>
      </c>
      <c r="D39" s="332">
        <f t="shared" si="8"/>
        <v>0</v>
      </c>
      <c r="E39" s="332">
        <f t="shared" si="8"/>
        <v>0</v>
      </c>
      <c r="F39" s="332">
        <f t="shared" si="8"/>
        <v>0</v>
      </c>
      <c r="G39" s="332">
        <f t="shared" si="8"/>
        <v>0</v>
      </c>
      <c r="H39" s="393">
        <f t="shared" si="8"/>
        <v>0</v>
      </c>
      <c r="I39" s="494"/>
      <c r="J39" s="49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68"/>
      <c r="B40" s="136"/>
      <c r="C40" s="136"/>
      <c r="D40" s="136"/>
      <c r="E40" s="136"/>
      <c r="F40" s="136"/>
      <c r="G40" s="136"/>
      <c r="H40" s="13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68"/>
      <c r="B41" s="136"/>
      <c r="C41" s="136"/>
      <c r="D41" s="136"/>
      <c r="E41" s="136"/>
      <c r="F41" s="136"/>
      <c r="G41" s="136"/>
      <c r="H41" s="13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131" t="s">
        <v>122</v>
      </c>
      <c r="B42" s="54">
        <f t="shared" ref="B42:H42" si="9">+B19-B32-B39</f>
        <v>0</v>
      </c>
      <c r="C42" s="132">
        <f t="shared" si="9"/>
        <v>0</v>
      </c>
      <c r="D42" s="132">
        <f t="shared" si="9"/>
        <v>0</v>
      </c>
      <c r="E42" s="132">
        <f t="shared" si="9"/>
        <v>0</v>
      </c>
      <c r="F42" s="132">
        <f t="shared" si="9"/>
        <v>0</v>
      </c>
      <c r="G42" s="132">
        <f t="shared" si="9"/>
        <v>0</v>
      </c>
      <c r="H42" s="132">
        <f t="shared" si="9"/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1" t="s">
        <v>123</v>
      </c>
      <c r="B43" s="133"/>
      <c r="C43" s="133">
        <f>+'Costi-Ricavi_Anno1'!B42</f>
        <v>0</v>
      </c>
      <c r="D43" s="133">
        <f>'Costi-Ricavi_Anno2e3'!B42</f>
        <v>0</v>
      </c>
      <c r="E43" s="133">
        <f>D43</f>
        <v>0</v>
      </c>
      <c r="F43" s="133">
        <f>'Costi-Ricavi_Anno4_5_6'!B42</f>
        <v>0</v>
      </c>
      <c r="G43" s="133">
        <f>F43</f>
        <v>0</v>
      </c>
      <c r="H43" s="133">
        <f>G43</f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68"/>
      <c r="B45" s="136"/>
      <c r="C45" s="136"/>
      <c r="D45" s="136"/>
      <c r="E45" s="136"/>
      <c r="F45" s="136"/>
      <c r="G45" s="136"/>
      <c r="H45" s="13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5.5" customHeight="1" x14ac:dyDescent="0.3">
      <c r="A46" s="185" t="s">
        <v>124</v>
      </c>
      <c r="B46" s="186">
        <f t="shared" ref="B46:H46" si="10">+B42-B43</f>
        <v>0</v>
      </c>
      <c r="C46" s="186">
        <f t="shared" si="10"/>
        <v>0</v>
      </c>
      <c r="D46" s="186">
        <f t="shared" si="10"/>
        <v>0</v>
      </c>
      <c r="E46" s="186">
        <f t="shared" si="10"/>
        <v>0</v>
      </c>
      <c r="F46" s="186">
        <f t="shared" si="10"/>
        <v>0</v>
      </c>
      <c r="G46" s="186">
        <f t="shared" si="10"/>
        <v>0</v>
      </c>
      <c r="H46" s="186">
        <f t="shared" si="1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68"/>
      <c r="B47" s="3"/>
      <c r="C47" s="136"/>
      <c r="D47" s="136"/>
      <c r="E47" s="136"/>
      <c r="F47" s="136"/>
      <c r="G47" s="136"/>
      <c r="H47" s="136"/>
      <c r="I47" s="3"/>
      <c r="J47" s="31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.75" customHeight="1" x14ac:dyDescent="0.3">
      <c r="A48" s="185" t="s">
        <v>125</v>
      </c>
      <c r="B48" s="187" t="e">
        <f>IRR(B46:H46,10%)</f>
        <v>#NUM!</v>
      </c>
      <c r="C48" s="136"/>
      <c r="D48" s="89"/>
      <c r="E48" s="136"/>
      <c r="F48" s="136"/>
      <c r="G48" s="136"/>
      <c r="H48" s="13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68"/>
      <c r="B49" s="136"/>
      <c r="C49" s="136"/>
      <c r="D49" s="136"/>
      <c r="E49" s="136"/>
      <c r="F49" s="136"/>
      <c r="G49" s="136"/>
      <c r="H49" s="13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68"/>
      <c r="B50" s="136"/>
      <c r="C50" s="136"/>
      <c r="D50" s="136"/>
      <c r="E50" s="136"/>
      <c r="F50" s="136"/>
      <c r="G50" s="136"/>
      <c r="H50" s="13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68"/>
      <c r="B51" s="136"/>
      <c r="C51" s="136"/>
      <c r="D51" s="136"/>
      <c r="E51" s="136"/>
      <c r="F51" s="136"/>
      <c r="G51" s="136"/>
      <c r="H51" s="13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9" t="str">
        <f>'Costi-Ricavi_Anno1'!A34</f>
        <v>Acc. ammortamento Camere e Spazi Comuni</v>
      </c>
      <c r="B52" s="125">
        <v>0</v>
      </c>
      <c r="C52" s="125">
        <f>'Costi-Ricavi_Anno1'!$B$34*'Var temp'!C39</f>
        <v>0</v>
      </c>
      <c r="D52" s="125">
        <f>'Costi-Ricavi_Anno1'!$B$34*'Var temp'!D39</f>
        <v>0</v>
      </c>
      <c r="E52" s="125">
        <f>'Costi-Ricavi_Anno1'!$B$34*'Var temp'!E39</f>
        <v>0</v>
      </c>
      <c r="F52" s="125">
        <f>'Costi-Ricavi_Anno1'!$B$34*'Var temp'!F39</f>
        <v>0</v>
      </c>
      <c r="G52" s="125">
        <f>'Costi-Ricavi_Anno1'!$B$34*'Var temp'!G39</f>
        <v>0</v>
      </c>
      <c r="H52" s="125">
        <f>'Costi-Ricavi_Anno1'!$B$34*'Var temp'!H39</f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"/>
      <c r="B53" s="89"/>
      <c r="C53" s="89"/>
      <c r="D53" s="89"/>
      <c r="E53" s="89"/>
      <c r="F53" s="89"/>
      <c r="G53" s="89"/>
      <c r="H53" s="8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11" t="str">
        <f>'Costi-Ricavi_Anno1'!A36</f>
        <v>Acc. ammortamento Bar</v>
      </c>
      <c r="B54" s="328">
        <v>0</v>
      </c>
      <c r="C54" s="328">
        <f>'Costi-Ricavi_Anno1'!$B$36*'Var temp'!C41</f>
        <v>0</v>
      </c>
      <c r="D54" s="328">
        <f>'Costi-Ricavi_Anno1'!$B$36*'Var temp'!D41</f>
        <v>0</v>
      </c>
      <c r="E54" s="328">
        <f>'Costi-Ricavi_Anno1'!$B$36*'Var temp'!E41</f>
        <v>0</v>
      </c>
      <c r="F54" s="328">
        <f>'Costi-Ricavi_Anno1'!$B$36*'Var temp'!F41</f>
        <v>0</v>
      </c>
      <c r="G54" s="328">
        <f>'Costi-Ricavi_Anno1'!$B$36*'Var temp'!G41</f>
        <v>0</v>
      </c>
      <c r="H54" s="328">
        <f>'Costi-Ricavi_Anno1'!$B$36*'Var temp'!H41</f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79" t="str">
        <f>'Costi-Ricavi_Anno1'!A37</f>
        <v>Acc. Ammortamento Palestra</v>
      </c>
      <c r="B55" s="179">
        <v>0</v>
      </c>
      <c r="C55" s="179">
        <f>'Costi-Ricavi_Anno1'!$B$37*'Var temp'!C42</f>
        <v>0</v>
      </c>
      <c r="D55" s="179">
        <f>'Costi-Ricavi_Anno1'!$B$37*'Var temp'!D42</f>
        <v>0</v>
      </c>
      <c r="E55" s="179">
        <f>'Costi-Ricavi_Anno1'!$B$37*'Var temp'!E42</f>
        <v>0</v>
      </c>
      <c r="F55" s="179">
        <f>'Costi-Ricavi_Anno1'!$B$37*'Var temp'!F42</f>
        <v>0</v>
      </c>
      <c r="G55" s="179">
        <f>'Costi-Ricavi_Anno1'!$B$37*'Var temp'!G42</f>
        <v>0</v>
      </c>
      <c r="H55" s="179">
        <f>'Costi-Ricavi_Anno1'!$B$37*'Var temp'!H42</f>
        <v>0</v>
      </c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</row>
    <row r="56" spans="1:26" ht="13.5" customHeight="1" x14ac:dyDescent="0.3">
      <c r="A56" s="138" t="str">
        <f>'Costi-Ricavi_Anno1'!A38</f>
        <v>Totale accantonamenti ammortamenti</v>
      </c>
      <c r="B56" s="184">
        <v>0</v>
      </c>
      <c r="C56" s="184">
        <f>SUM(C52:C55)</f>
        <v>0</v>
      </c>
      <c r="D56" s="184">
        <f t="shared" ref="D56:H56" si="11">SUM(D52:D55)</f>
        <v>0</v>
      </c>
      <c r="E56" s="184">
        <f t="shared" si="11"/>
        <v>0</v>
      </c>
      <c r="F56" s="184">
        <f t="shared" si="11"/>
        <v>0</v>
      </c>
      <c r="G56" s="184">
        <f t="shared" si="11"/>
        <v>0</v>
      </c>
      <c r="H56" s="184">
        <f t="shared" si="11"/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135"/>
      <c r="B57" s="136"/>
      <c r="C57" s="136"/>
      <c r="D57" s="136"/>
      <c r="E57" s="136"/>
      <c r="F57" s="136"/>
      <c r="G57" s="136"/>
      <c r="H57" s="13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68"/>
      <c r="B58" s="136"/>
      <c r="C58" s="136"/>
      <c r="D58" s="136"/>
      <c r="E58" s="136"/>
      <c r="F58" s="136"/>
      <c r="G58" s="136"/>
      <c r="H58" s="13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494"/>
      <c r="B61" s="494"/>
      <c r="C61" s="494"/>
      <c r="D61" s="49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494"/>
      <c r="B62" s="495"/>
      <c r="C62" s="494"/>
      <c r="D62" s="49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494"/>
      <c r="B63" s="494"/>
      <c r="C63" s="494"/>
      <c r="D63" s="49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494"/>
      <c r="B64" s="496"/>
      <c r="C64" s="496"/>
      <c r="D64" s="496"/>
      <c r="E64" s="89"/>
      <c r="F64" s="89"/>
      <c r="G64" s="89"/>
      <c r="H64" s="8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496"/>
      <c r="B65" s="496"/>
      <c r="C65" s="496"/>
      <c r="D65" s="496"/>
      <c r="E65" s="89"/>
      <c r="F65" s="89"/>
      <c r="G65" s="89"/>
      <c r="H65" s="8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496"/>
      <c r="B66" s="496"/>
      <c r="C66" s="494"/>
      <c r="D66" s="49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494"/>
      <c r="B67" s="494"/>
      <c r="C67" s="494"/>
      <c r="D67" s="49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"/>
    <row r="268" spans="1:26" ht="15.75" customHeight="1" x14ac:dyDescent="0.3"/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</sheetData>
  <sheetProtection password="EA95" sheet="1" objects="1" scenarios="1"/>
  <mergeCells count="5">
    <mergeCell ref="A6:D6"/>
    <mergeCell ref="A1:G1"/>
    <mergeCell ref="A3:G3"/>
    <mergeCell ref="A5:D5"/>
    <mergeCell ref="A4:D4"/>
  </mergeCells>
  <pageMargins left="0.70866141732283472" right="0.70866141732283472" top="0.74803149606299213" bottom="0.74803149606299213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3"/>
  <cols>
    <col min="1" max="1" width="26.375" customWidth="1"/>
    <col min="2" max="8" width="4.875" customWidth="1"/>
    <col min="9" max="26" width="5.625" customWidth="1"/>
  </cols>
  <sheetData>
    <row r="1" spans="1:26" ht="13.5" customHeight="1" x14ac:dyDescent="0.3">
      <c r="A1" s="2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 x14ac:dyDescent="0.3">
      <c r="A2" s="149" t="s">
        <v>12</v>
      </c>
      <c r="B2" s="10">
        <v>1</v>
      </c>
      <c r="C2" s="53">
        <v>2</v>
      </c>
      <c r="D2" s="53">
        <v>3</v>
      </c>
      <c r="E2" s="53">
        <v>4</v>
      </c>
      <c r="F2" s="53">
        <v>5</v>
      </c>
      <c r="G2" s="150" t="s">
        <v>104</v>
      </c>
      <c r="H2" s="11">
        <v>31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3">
      <c r="A3" s="134" t="s">
        <v>105</v>
      </c>
      <c r="B3" s="151" t="e">
        <f>IRR!#REF!</f>
        <v>#REF!</v>
      </c>
      <c r="C3" s="152">
        <v>0</v>
      </c>
      <c r="D3" s="152">
        <v>0</v>
      </c>
      <c r="E3" s="152">
        <v>0</v>
      </c>
      <c r="F3" s="152">
        <v>0</v>
      </c>
      <c r="G3" s="152">
        <v>0</v>
      </c>
      <c r="H3" s="153" t="e">
        <f>H51</f>
        <v>#REF!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3">
      <c r="A4" s="134" t="e">
        <f>IRR!#REF!</f>
        <v>#REF!</v>
      </c>
      <c r="B4" s="151" t="e">
        <f>IRR!#REF!</f>
        <v>#REF!</v>
      </c>
      <c r="C4" s="152">
        <v>0</v>
      </c>
      <c r="D4" s="152">
        <v>0</v>
      </c>
      <c r="E4" s="152">
        <v>0</v>
      </c>
      <c r="F4" s="152">
        <v>0</v>
      </c>
      <c r="G4" s="152">
        <v>0</v>
      </c>
      <c r="H4" s="153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7.5" customHeight="1" x14ac:dyDescent="0.3">
      <c r="A5" s="68"/>
      <c r="B5" s="154"/>
      <c r="C5" s="154"/>
      <c r="D5" s="154"/>
      <c r="E5" s="154"/>
      <c r="F5" s="154"/>
      <c r="G5" s="154"/>
      <c r="H5" s="15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3">
      <c r="A6" s="21" t="s">
        <v>15</v>
      </c>
      <c r="B6" s="155" t="e">
        <f>IRR!#REF!</f>
        <v>#REF!</v>
      </c>
      <c r="C6" s="156" t="e">
        <f>IRR!#REF!</f>
        <v>#REF!</v>
      </c>
      <c r="D6" s="156" t="str">
        <f>IRR!B10</f>
        <v xml:space="preserve"> </v>
      </c>
      <c r="E6" s="156">
        <f>IRR!C10</f>
        <v>0</v>
      </c>
      <c r="F6" s="156">
        <f>IRR!D10</f>
        <v>0</v>
      </c>
      <c r="G6" s="156">
        <f>IRR!E10</f>
        <v>0</v>
      </c>
      <c r="H6" s="157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3">
      <c r="A7" s="27" t="s">
        <v>16</v>
      </c>
      <c r="B7" s="158" t="e">
        <f>IRR!#REF!</f>
        <v>#REF!</v>
      </c>
      <c r="C7" s="154" t="e">
        <f>IRR!#REF!</f>
        <v>#REF!</v>
      </c>
      <c r="D7" s="154">
        <f>IRR!B13</f>
        <v>0</v>
      </c>
      <c r="E7" s="154" t="e">
        <f>IRR!#REF!</f>
        <v>#REF!</v>
      </c>
      <c r="F7" s="154" t="e">
        <f>IRR!#REF!</f>
        <v>#REF!</v>
      </c>
      <c r="G7" s="154" t="e">
        <f>IRR!#REF!</f>
        <v>#REF!</v>
      </c>
      <c r="H7" s="15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3">
      <c r="A8" s="27" t="s">
        <v>19</v>
      </c>
      <c r="B8" s="158" t="e">
        <f>IRR!#REF!</f>
        <v>#REF!</v>
      </c>
      <c r="C8" s="154" t="e">
        <f>IRR!#REF!</f>
        <v>#REF!</v>
      </c>
      <c r="D8" s="154">
        <f>IRR!B14</f>
        <v>0</v>
      </c>
      <c r="E8" s="154" t="e">
        <f>IRR!#REF!</f>
        <v>#REF!</v>
      </c>
      <c r="F8" s="154" t="e">
        <f>IRR!#REF!</f>
        <v>#REF!</v>
      </c>
      <c r="G8" s="154" t="e">
        <f>IRR!#REF!</f>
        <v>#REF!</v>
      </c>
      <c r="H8" s="15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3">
      <c r="A9" s="103" t="s">
        <v>107</v>
      </c>
      <c r="B9" s="162" t="e">
        <f>IRR!#REF!</f>
        <v>#REF!</v>
      </c>
      <c r="C9" s="163" t="e">
        <f>IRR!#REF!</f>
        <v>#REF!</v>
      </c>
      <c r="D9" s="163" t="e">
        <f>IRR!#REF!</f>
        <v>#REF!</v>
      </c>
      <c r="E9" s="163" t="e">
        <f>IRR!#REF!</f>
        <v>#REF!</v>
      </c>
      <c r="F9" s="163" t="e">
        <f>IRR!#REF!</f>
        <v>#REF!</v>
      </c>
      <c r="G9" s="163" t="e">
        <f>IRR!#REF!</f>
        <v>#REF!</v>
      </c>
      <c r="H9" s="164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123" t="str">
        <f>IRR!A15</f>
        <v>Entrate da residenza studentesca</v>
      </c>
      <c r="B10" s="165" t="e">
        <f t="shared" ref="B10:H10" si="0">SUM(B6:B9)</f>
        <v>#REF!</v>
      </c>
      <c r="C10" s="167" t="e">
        <f t="shared" si="0"/>
        <v>#REF!</v>
      </c>
      <c r="D10" s="167" t="e">
        <f t="shared" si="0"/>
        <v>#REF!</v>
      </c>
      <c r="E10" s="167" t="e">
        <f t="shared" si="0"/>
        <v>#REF!</v>
      </c>
      <c r="F10" s="167" t="e">
        <f t="shared" si="0"/>
        <v>#REF!</v>
      </c>
      <c r="G10" s="167" t="e">
        <f t="shared" si="0"/>
        <v>#REF!</v>
      </c>
      <c r="H10" s="168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129" t="s">
        <v>80</v>
      </c>
      <c r="B11" s="158" t="e">
        <f>IRR!#REF!</f>
        <v>#REF!</v>
      </c>
      <c r="C11" s="154" t="e">
        <f>IRR!#REF!</f>
        <v>#REF!</v>
      </c>
      <c r="D11" s="154">
        <f>IRR!B16</f>
        <v>0</v>
      </c>
      <c r="E11" s="154">
        <f>IRR!C16</f>
        <v>0</v>
      </c>
      <c r="F11" s="154">
        <f>IRR!D16</f>
        <v>0</v>
      </c>
      <c r="G11" s="154">
        <f>IRR!E16</f>
        <v>0</v>
      </c>
      <c r="H11" s="15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131" t="str">
        <f>IRR!A18</f>
        <v>Totale entrate da affitti commerciali</v>
      </c>
      <c r="B12" s="165" t="e">
        <f>IRR!#REF!</f>
        <v>#REF!</v>
      </c>
      <c r="C12" s="167" t="e">
        <f>IRR!#REF!</f>
        <v>#REF!</v>
      </c>
      <c r="D12" s="167">
        <f>IRR!B18</f>
        <v>0</v>
      </c>
      <c r="E12" s="167">
        <f>IRR!C18</f>
        <v>0</v>
      </c>
      <c r="F12" s="167">
        <f>IRR!D18</f>
        <v>0</v>
      </c>
      <c r="G12" s="167">
        <f>IRR!E18</f>
        <v>0</v>
      </c>
      <c r="H12" s="168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3">
      <c r="A13" s="170" t="str">
        <f>IRR!A19</f>
        <v xml:space="preserve">TOTALE ENTRATE DI CASSA </v>
      </c>
      <c r="B13" s="171" t="e">
        <f t="shared" ref="B13:G13" si="1">B12+B4+B10</f>
        <v>#REF!</v>
      </c>
      <c r="C13" s="172" t="e">
        <f t="shared" si="1"/>
        <v>#REF!</v>
      </c>
      <c r="D13" s="172" t="e">
        <f t="shared" si="1"/>
        <v>#REF!</v>
      </c>
      <c r="E13" s="172" t="e">
        <f t="shared" si="1"/>
        <v>#REF!</v>
      </c>
      <c r="F13" s="172" t="e">
        <f t="shared" si="1"/>
        <v>#REF!</v>
      </c>
      <c r="G13" s="172" t="e">
        <f t="shared" si="1"/>
        <v>#REF!</v>
      </c>
      <c r="H13" s="173" t="e">
        <f>H3</f>
        <v>#REF!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.75" customHeight="1" x14ac:dyDescent="0.3">
      <c r="A14" s="3"/>
      <c r="B14" s="154"/>
      <c r="C14" s="154"/>
      <c r="D14" s="154"/>
      <c r="E14" s="154"/>
      <c r="F14" s="154"/>
      <c r="G14" s="154"/>
      <c r="H14" s="15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3">
      <c r="A15" s="174" t="s">
        <v>110</v>
      </c>
      <c r="B15" s="10">
        <v>1</v>
      </c>
      <c r="C15" s="53">
        <v>2</v>
      </c>
      <c r="D15" s="53">
        <v>3</v>
      </c>
      <c r="E15" s="53">
        <v>4</v>
      </c>
      <c r="F15" s="53">
        <v>5</v>
      </c>
      <c r="G15" s="150" t="s">
        <v>104</v>
      </c>
      <c r="H15" s="11">
        <v>31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3">
      <c r="A16" s="175" t="s">
        <v>111</v>
      </c>
      <c r="B16" s="156" t="e">
        <f>IRR!#REF!</f>
        <v>#REF!</v>
      </c>
      <c r="C16" s="156" t="e">
        <f>IRR!#REF!</f>
        <v>#REF!</v>
      </c>
      <c r="D16" s="156" t="e">
        <f>IRR!#REF!</f>
        <v>#REF!</v>
      </c>
      <c r="E16" s="156" t="e">
        <f>IRR!#REF!</f>
        <v>#REF!</v>
      </c>
      <c r="F16" s="156" t="e">
        <f>IRR!#REF!</f>
        <v>#REF!</v>
      </c>
      <c r="G16" s="156" t="e">
        <f>IRR!#REF!</f>
        <v>#REF!</v>
      </c>
      <c r="H16" s="157" t="e">
        <f>IRR!#REF!</f>
        <v>#REF!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129" t="s">
        <v>112</v>
      </c>
      <c r="B17" s="154" t="e">
        <f>IRR!#REF!</f>
        <v>#REF!</v>
      </c>
      <c r="C17" s="154" t="e">
        <f>IRR!#REF!</f>
        <v>#REF!</v>
      </c>
      <c r="D17" s="154" t="e">
        <f>IRR!#REF!</f>
        <v>#REF!</v>
      </c>
      <c r="E17" s="154" t="e">
        <f>IRR!#REF!</f>
        <v>#REF!</v>
      </c>
      <c r="F17" s="154" t="e">
        <f>IRR!#REF!</f>
        <v>#REF!</v>
      </c>
      <c r="G17" s="154" t="e">
        <f>IRR!#REF!</f>
        <v>#REF!</v>
      </c>
      <c r="H17" s="159" t="e">
        <f>IRR!#REF!</f>
        <v>#REF!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76" t="s">
        <v>113</v>
      </c>
      <c r="B18" s="154" t="e">
        <f>IRR!#REF!</f>
        <v>#REF!</v>
      </c>
      <c r="C18" s="154" t="e">
        <f>IRR!#REF!</f>
        <v>#REF!</v>
      </c>
      <c r="D18" s="154" t="e">
        <f>IRR!#REF!</f>
        <v>#REF!</v>
      </c>
      <c r="E18" s="154" t="e">
        <f>IRR!#REF!</f>
        <v>#REF!</v>
      </c>
      <c r="F18" s="154" t="e">
        <f>IRR!#REF!</f>
        <v>#REF!</v>
      </c>
      <c r="G18" s="154" t="e">
        <f>IRR!#REF!</f>
        <v>#REF!</v>
      </c>
      <c r="H18" s="159" t="e">
        <f>IRR!#REF!</f>
        <v>#REF!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76" t="s">
        <v>114</v>
      </c>
      <c r="B19" s="154" t="e">
        <f>IRR!#REF!</f>
        <v>#REF!</v>
      </c>
      <c r="C19" s="154" t="e">
        <f>IRR!#REF!</f>
        <v>#REF!</v>
      </c>
      <c r="D19" s="154" t="e">
        <f>IRR!#REF!</f>
        <v>#REF!</v>
      </c>
      <c r="E19" s="154" t="e">
        <f>IRR!#REF!</f>
        <v>#REF!</v>
      </c>
      <c r="F19" s="154" t="e">
        <f>IRR!#REF!</f>
        <v>#REF!</v>
      </c>
      <c r="G19" s="154" t="e">
        <f>IRR!#REF!</f>
        <v>#REF!</v>
      </c>
      <c r="H19" s="159" t="e">
        <f>IRR!#REF!</f>
        <v>#REF!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76" t="s">
        <v>115</v>
      </c>
      <c r="B20" s="154" t="e">
        <f>IRR!#REF!</f>
        <v>#REF!</v>
      </c>
      <c r="C20" s="154" t="e">
        <f>IRR!#REF!</f>
        <v>#REF!</v>
      </c>
      <c r="D20" s="154" t="e">
        <f>IRR!#REF!</f>
        <v>#REF!</v>
      </c>
      <c r="E20" s="154" t="e">
        <f>IRR!#REF!</f>
        <v>#REF!</v>
      </c>
      <c r="F20" s="154" t="e">
        <f>IRR!#REF!</f>
        <v>#REF!</v>
      </c>
      <c r="G20" s="154" t="e">
        <f>IRR!#REF!</f>
        <v>#REF!</v>
      </c>
      <c r="H20" s="159" t="e">
        <f>IRR!#REF!</f>
        <v>#REF!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76" t="s">
        <v>116</v>
      </c>
      <c r="B21" s="154" t="e">
        <f>IRR!#REF!</f>
        <v>#REF!</v>
      </c>
      <c r="C21" s="154" t="e">
        <f>IRR!#REF!</f>
        <v>#REF!</v>
      </c>
      <c r="D21" s="154" t="e">
        <f>IRR!#REF!</f>
        <v>#REF!</v>
      </c>
      <c r="E21" s="154" t="e">
        <f>IRR!#REF!</f>
        <v>#REF!</v>
      </c>
      <c r="F21" s="154" t="e">
        <f>IRR!#REF!</f>
        <v>#REF!</v>
      </c>
      <c r="G21" s="154" t="e">
        <f>IRR!#REF!</f>
        <v>#REF!</v>
      </c>
      <c r="H21" s="159" t="e">
        <f>IRR!#REF!</f>
        <v>#REF!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76" t="s">
        <v>117</v>
      </c>
      <c r="B22" s="154" t="e">
        <f>IRR!#REF!</f>
        <v>#REF!</v>
      </c>
      <c r="C22" s="154" t="e">
        <f>IRR!#REF!</f>
        <v>#REF!</v>
      </c>
      <c r="D22" s="154" t="e">
        <f>IRR!#REF!</f>
        <v>#REF!</v>
      </c>
      <c r="E22" s="154" t="e">
        <f>IRR!#REF!</f>
        <v>#REF!</v>
      </c>
      <c r="F22" s="154" t="e">
        <f>IRR!#REF!</f>
        <v>#REF!</v>
      </c>
      <c r="G22" s="154" t="e">
        <f>IRR!#REF!</f>
        <v>#REF!</v>
      </c>
      <c r="H22" s="159" t="e">
        <f>IRR!#REF!</f>
        <v>#REF!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3">
      <c r="A23" s="134" t="e">
        <f>IRR!#REF!</f>
        <v>#REF!</v>
      </c>
      <c r="B23" s="152" t="e">
        <f t="shared" ref="B23:H23" si="2">B22+B21+B20+B19+B18+B17+B16</f>
        <v>#REF!</v>
      </c>
      <c r="C23" s="152" t="e">
        <f t="shared" si="2"/>
        <v>#REF!</v>
      </c>
      <c r="D23" s="152" t="e">
        <f t="shared" si="2"/>
        <v>#REF!</v>
      </c>
      <c r="E23" s="152" t="e">
        <f t="shared" si="2"/>
        <v>#REF!</v>
      </c>
      <c r="F23" s="152" t="e">
        <f t="shared" si="2"/>
        <v>#REF!</v>
      </c>
      <c r="G23" s="152" t="e">
        <f t="shared" si="2"/>
        <v>#REF!</v>
      </c>
      <c r="H23" s="153" t="e">
        <f t="shared" si="2"/>
        <v>#REF!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.25" customHeight="1" x14ac:dyDescent="0.3">
      <c r="A24" s="31"/>
      <c r="B24" s="177"/>
      <c r="C24" s="177"/>
      <c r="D24" s="177"/>
      <c r="E24" s="177"/>
      <c r="F24" s="177"/>
      <c r="G24" s="177"/>
      <c r="H24" s="15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175" t="s">
        <v>36</v>
      </c>
      <c r="B25" s="155" t="e">
        <f>IRR!#REF!</f>
        <v>#REF!</v>
      </c>
      <c r="C25" s="156" t="e">
        <f>IRR!#REF!</f>
        <v>#REF!</v>
      </c>
      <c r="D25" s="156" t="e">
        <f>IRR!#REF!</f>
        <v>#REF!</v>
      </c>
      <c r="E25" s="156" t="e">
        <f>IRR!#REF!</f>
        <v>#REF!</v>
      </c>
      <c r="F25" s="156" t="e">
        <f>IRR!#REF!</f>
        <v>#REF!</v>
      </c>
      <c r="G25" s="156" t="e">
        <f>IRR!#REF!</f>
        <v>#REF!</v>
      </c>
      <c r="H25" s="157" t="e">
        <f>IRR!#REF!</f>
        <v>#REF!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27" t="s">
        <v>118</v>
      </c>
      <c r="B26" s="158" t="e">
        <f>IRR!#REF!</f>
        <v>#REF!</v>
      </c>
      <c r="C26" s="154" t="e">
        <f>IRR!#REF!</f>
        <v>#REF!</v>
      </c>
      <c r="D26" s="154">
        <f>IRR!B35</f>
        <v>0</v>
      </c>
      <c r="E26" s="154" t="e">
        <f>IRR!#REF!</f>
        <v>#REF!</v>
      </c>
      <c r="F26" s="154" t="e">
        <f>IRR!#REF!</f>
        <v>#REF!</v>
      </c>
      <c r="G26" s="154" t="e">
        <f>IRR!#REF!</f>
        <v>#REF!</v>
      </c>
      <c r="H26" s="159" t="e">
        <f>IRR!#REF!</f>
        <v>#REF!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27" t="s">
        <v>119</v>
      </c>
      <c r="B27" s="158" t="e">
        <f>IRR!#REF!</f>
        <v>#REF!</v>
      </c>
      <c r="C27" s="154" t="e">
        <f>IRR!#REF!</f>
        <v>#REF!</v>
      </c>
      <c r="D27" s="154" t="e">
        <f>IRR!#REF!</f>
        <v>#REF!</v>
      </c>
      <c r="E27" s="154" t="e">
        <f>IRR!#REF!</f>
        <v>#REF!</v>
      </c>
      <c r="F27" s="154" t="e">
        <f>IRR!#REF!</f>
        <v>#REF!</v>
      </c>
      <c r="G27" s="154" t="e">
        <f>IRR!#REF!</f>
        <v>#REF!</v>
      </c>
      <c r="H27" s="159" t="e">
        <f>IRR!#REF!</f>
        <v>#REF!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129" t="s">
        <v>43</v>
      </c>
      <c r="B28" s="158" t="e">
        <f>IRR!#REF!</f>
        <v>#REF!</v>
      </c>
      <c r="C28" s="154" t="e">
        <f>IRR!#REF!</f>
        <v>#REF!</v>
      </c>
      <c r="D28" s="154" t="e">
        <f>IRR!#REF!</f>
        <v>#REF!</v>
      </c>
      <c r="E28" s="154" t="e">
        <f>IRR!#REF!</f>
        <v>#REF!</v>
      </c>
      <c r="F28" s="154" t="e">
        <f>IRR!#REF!</f>
        <v>#REF!</v>
      </c>
      <c r="G28" s="154" t="e">
        <f>IRR!#REF!</f>
        <v>#REF!</v>
      </c>
      <c r="H28" s="159" t="e">
        <f>IRR!#REF!</f>
        <v>#REF!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130" t="s">
        <v>45</v>
      </c>
      <c r="B29" s="162" t="e">
        <f>IRR!#REF!</f>
        <v>#REF!</v>
      </c>
      <c r="C29" s="163" t="e">
        <f>IRR!#REF!</f>
        <v>#REF!</v>
      </c>
      <c r="D29" s="163" t="e">
        <f>IRR!#REF!</f>
        <v>#REF!</v>
      </c>
      <c r="E29" s="163" t="e">
        <f>IRR!#REF!</f>
        <v>#REF!</v>
      </c>
      <c r="F29" s="163" t="e">
        <f>IRR!#REF!</f>
        <v>#REF!</v>
      </c>
      <c r="G29" s="163" t="e">
        <f>IRR!#REF!</f>
        <v>#REF!</v>
      </c>
      <c r="H29" s="164" t="e">
        <f>IRR!#REF!</f>
        <v>#REF!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134" t="e">
        <f>IRR!#REF!</f>
        <v>#REF!</v>
      </c>
      <c r="B30" s="151" t="e">
        <f t="shared" ref="B30:H30" si="3">SUM(B25:B29)</f>
        <v>#REF!</v>
      </c>
      <c r="C30" s="152" t="e">
        <f t="shared" si="3"/>
        <v>#REF!</v>
      </c>
      <c r="D30" s="152" t="e">
        <f t="shared" si="3"/>
        <v>#REF!</v>
      </c>
      <c r="E30" s="152" t="e">
        <f t="shared" si="3"/>
        <v>#REF!</v>
      </c>
      <c r="F30" s="152" t="e">
        <f t="shared" si="3"/>
        <v>#REF!</v>
      </c>
      <c r="G30" s="152" t="e">
        <f t="shared" si="3"/>
        <v>#REF!</v>
      </c>
      <c r="H30" s="153" t="e">
        <f t="shared" si="3"/>
        <v>#REF!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6" customHeight="1" x14ac:dyDescent="0.3">
      <c r="A31" s="180"/>
      <c r="B31" s="177"/>
      <c r="C31" s="177"/>
      <c r="D31" s="177"/>
      <c r="E31" s="177"/>
      <c r="F31" s="177"/>
      <c r="G31" s="177"/>
      <c r="H31" s="18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182" t="s">
        <v>120</v>
      </c>
      <c r="B32" s="171" t="e">
        <f t="shared" ref="B32:H32" si="4">B30+B23</f>
        <v>#REF!</v>
      </c>
      <c r="C32" s="172" t="e">
        <f t="shared" si="4"/>
        <v>#REF!</v>
      </c>
      <c r="D32" s="172" t="e">
        <f t="shared" si="4"/>
        <v>#REF!</v>
      </c>
      <c r="E32" s="172" t="e">
        <f t="shared" si="4"/>
        <v>#REF!</v>
      </c>
      <c r="F32" s="172" t="e">
        <f t="shared" si="4"/>
        <v>#REF!</v>
      </c>
      <c r="G32" s="172" t="e">
        <f t="shared" si="4"/>
        <v>#REF!</v>
      </c>
      <c r="H32" s="183" t="e">
        <f t="shared" si="4"/>
        <v>#REF!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3"/>
      <c r="B33" s="154"/>
      <c r="C33" s="154"/>
      <c r="D33" s="154"/>
      <c r="E33" s="154"/>
      <c r="F33" s="154"/>
      <c r="G33" s="154"/>
      <c r="H33" s="15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174" t="s">
        <v>62</v>
      </c>
      <c r="B34" s="10">
        <v>1</v>
      </c>
      <c r="C34" s="53">
        <v>2</v>
      </c>
      <c r="D34" s="53">
        <v>3</v>
      </c>
      <c r="E34" s="53">
        <v>4</v>
      </c>
      <c r="F34" s="53">
        <v>5</v>
      </c>
      <c r="G34" s="150" t="s">
        <v>104</v>
      </c>
      <c r="H34" s="11">
        <v>31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175" t="s">
        <v>57</v>
      </c>
      <c r="B35" s="155">
        <f>IRR!B22</f>
        <v>0</v>
      </c>
      <c r="C35" s="156" t="e">
        <f>IRR!#REF!</f>
        <v>#REF!</v>
      </c>
      <c r="D35" s="156" t="e">
        <f>IRR!#REF!</f>
        <v>#REF!</v>
      </c>
      <c r="E35" s="156">
        <f>IRR!C22</f>
        <v>0</v>
      </c>
      <c r="F35" s="156">
        <f>IRR!D22</f>
        <v>0</v>
      </c>
      <c r="G35" s="156">
        <f>IRR!E22</f>
        <v>0</v>
      </c>
      <c r="H35" s="157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129" t="s">
        <v>68</v>
      </c>
      <c r="B36" s="158">
        <f>IRR!B23</f>
        <v>0</v>
      </c>
      <c r="C36" s="154" t="e">
        <f>IRR!#REF!</f>
        <v>#REF!</v>
      </c>
      <c r="D36" s="154" t="e">
        <f>IRR!#REF!</f>
        <v>#REF!</v>
      </c>
      <c r="E36" s="154">
        <f>IRR!C23</f>
        <v>0</v>
      </c>
      <c r="F36" s="154">
        <f>IRR!D23</f>
        <v>0</v>
      </c>
      <c r="G36" s="154">
        <f>IRR!E23</f>
        <v>0</v>
      </c>
      <c r="H36" s="15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129" t="s">
        <v>83</v>
      </c>
      <c r="B37" s="158">
        <f>IRR!B24</f>
        <v>0</v>
      </c>
      <c r="C37" s="154" t="e">
        <f>IRR!#REF!</f>
        <v>#REF!</v>
      </c>
      <c r="D37" s="154" t="e">
        <f>IRR!#REF!</f>
        <v>#REF!</v>
      </c>
      <c r="E37" s="154">
        <f>IRR!C24</f>
        <v>0</v>
      </c>
      <c r="F37" s="154">
        <f>IRR!D24</f>
        <v>0</v>
      </c>
      <c r="G37" s="154">
        <f>IRR!E24</f>
        <v>0</v>
      </c>
      <c r="H37" s="159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129" t="s">
        <v>84</v>
      </c>
      <c r="B38" s="158">
        <f>IRR!B25</f>
        <v>0</v>
      </c>
      <c r="C38" s="154" t="e">
        <f>IRR!#REF!</f>
        <v>#REF!</v>
      </c>
      <c r="D38" s="154" t="e">
        <f>IRR!#REF!</f>
        <v>#REF!</v>
      </c>
      <c r="E38" s="154">
        <f>IRR!C25</f>
        <v>0</v>
      </c>
      <c r="F38" s="154">
        <f>IRR!D25</f>
        <v>0</v>
      </c>
      <c r="G38" s="154">
        <f>IRR!E25</f>
        <v>0</v>
      </c>
      <c r="H38" s="15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129" t="s">
        <v>85</v>
      </c>
      <c r="B39" s="158">
        <f>IRR!B26</f>
        <v>0</v>
      </c>
      <c r="C39" s="154" t="e">
        <f>IRR!#REF!</f>
        <v>#REF!</v>
      </c>
      <c r="D39" s="154" t="e">
        <f>IRR!#REF!</f>
        <v>#REF!</v>
      </c>
      <c r="E39" s="154">
        <f>IRR!C26</f>
        <v>0</v>
      </c>
      <c r="F39" s="154">
        <f>IRR!D26</f>
        <v>0</v>
      </c>
      <c r="G39" s="154">
        <f>IRR!E26</f>
        <v>0</v>
      </c>
      <c r="H39" s="15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129" t="s">
        <v>59</v>
      </c>
      <c r="B40" s="158">
        <f>IRR!B27</f>
        <v>0</v>
      </c>
      <c r="C40" s="154" t="e">
        <f>IRR!#REF!</f>
        <v>#REF!</v>
      </c>
      <c r="D40" s="154" t="e">
        <f>IRR!#REF!</f>
        <v>#REF!</v>
      </c>
      <c r="E40" s="154">
        <f>IRR!C27</f>
        <v>0</v>
      </c>
      <c r="F40" s="154">
        <f>IRR!D27</f>
        <v>0</v>
      </c>
      <c r="G40" s="154">
        <f>IRR!E27</f>
        <v>0</v>
      </c>
      <c r="H40" s="15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130" t="s">
        <v>86</v>
      </c>
      <c r="B41" s="162">
        <f>IRR!B30</f>
        <v>0</v>
      </c>
      <c r="C41" s="163" t="e">
        <f>IRR!#REF!</f>
        <v>#REF!</v>
      </c>
      <c r="D41" s="163" t="e">
        <f>IRR!#REF!</f>
        <v>#REF!</v>
      </c>
      <c r="E41" s="163">
        <f>IRR!C30</f>
        <v>0</v>
      </c>
      <c r="F41" s="163">
        <f>IRR!D30</f>
        <v>0</v>
      </c>
      <c r="G41" s="163">
        <f>IRR!E30</f>
        <v>0</v>
      </c>
      <c r="H41" s="164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123" t="str">
        <f>IRR!A32</f>
        <v>USCITE DI CASSA per spese di gestione</v>
      </c>
      <c r="B42" s="165">
        <f t="shared" ref="B42:H42" si="5">SUM(B35:B41)</f>
        <v>0</v>
      </c>
      <c r="C42" s="167" t="e">
        <f t="shared" si="5"/>
        <v>#REF!</v>
      </c>
      <c r="D42" s="167" t="e">
        <f t="shared" si="5"/>
        <v>#REF!</v>
      </c>
      <c r="E42" s="167">
        <f t="shared" si="5"/>
        <v>0</v>
      </c>
      <c r="F42" s="167">
        <f t="shared" si="5"/>
        <v>0</v>
      </c>
      <c r="G42" s="167">
        <f t="shared" si="5"/>
        <v>0</v>
      </c>
      <c r="H42" s="168">
        <f t="shared" si="5"/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129" t="e">
        <f>IRR!#REF!</f>
        <v>#REF!</v>
      </c>
      <c r="B43" s="158" t="e">
        <f>IRR!#REF!</f>
        <v>#REF!</v>
      </c>
      <c r="C43" s="154" t="e">
        <f>IRR!#REF!</f>
        <v>#REF!</v>
      </c>
      <c r="D43" s="154" t="e">
        <f>IRR!#REF!</f>
        <v>#REF!</v>
      </c>
      <c r="E43" s="154" t="e">
        <f>IRR!#REF!</f>
        <v>#REF!</v>
      </c>
      <c r="F43" s="154" t="e">
        <f>IRR!#REF!</f>
        <v>#REF!</v>
      </c>
      <c r="G43" s="154" t="e">
        <f>IRR!#REF!</f>
        <v>#REF!</v>
      </c>
      <c r="H43" s="159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130" t="e">
        <f>IRR!#REF!</f>
        <v>#REF!</v>
      </c>
      <c r="B44" s="162" t="e">
        <f>IRR!#REF!</f>
        <v>#REF!</v>
      </c>
      <c r="C44" s="163" t="e">
        <f>IRR!#REF!</f>
        <v>#REF!</v>
      </c>
      <c r="D44" s="163" t="e">
        <f>IRR!#REF!</f>
        <v>#REF!</v>
      </c>
      <c r="E44" s="163" t="e">
        <f>IRR!#REF!</f>
        <v>#REF!</v>
      </c>
      <c r="F44" s="163" t="e">
        <f>IRR!#REF!</f>
        <v>#REF!</v>
      </c>
      <c r="G44" s="163" t="e">
        <f>IRR!#REF!</f>
        <v>#REF!</v>
      </c>
      <c r="H44" s="164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134" t="e">
        <f>IRR!#REF!</f>
        <v>#REF!</v>
      </c>
      <c r="B45" s="151" t="e">
        <f t="shared" ref="B45:H45" si="6">B44+B43</f>
        <v>#REF!</v>
      </c>
      <c r="C45" s="152" t="e">
        <f t="shared" si="6"/>
        <v>#REF!</v>
      </c>
      <c r="D45" s="152" t="e">
        <f t="shared" si="6"/>
        <v>#REF!</v>
      </c>
      <c r="E45" s="152" t="e">
        <f t="shared" si="6"/>
        <v>#REF!</v>
      </c>
      <c r="F45" s="152" t="e">
        <f t="shared" si="6"/>
        <v>#REF!</v>
      </c>
      <c r="G45" s="152" t="e">
        <f t="shared" si="6"/>
        <v>#REF!</v>
      </c>
      <c r="H45" s="153">
        <f t="shared" si="6"/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6" customHeight="1" x14ac:dyDescent="0.3">
      <c r="A46" s="180"/>
      <c r="B46" s="177"/>
      <c r="C46" s="188"/>
      <c r="D46" s="177"/>
      <c r="E46" s="177"/>
      <c r="F46" s="177"/>
      <c r="G46" s="177"/>
      <c r="H46" s="17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182" t="str">
        <f>IRR!A42</f>
        <v>FCFO lordo</v>
      </c>
      <c r="B47" s="171" t="e">
        <f t="shared" ref="B47:H47" si="7">+B45+B42</f>
        <v>#REF!</v>
      </c>
      <c r="C47" s="172" t="e">
        <f t="shared" si="7"/>
        <v>#REF!</v>
      </c>
      <c r="D47" s="172" t="e">
        <f t="shared" si="7"/>
        <v>#REF!</v>
      </c>
      <c r="E47" s="172" t="e">
        <f t="shared" si="7"/>
        <v>#REF!</v>
      </c>
      <c r="F47" s="172" t="e">
        <f t="shared" si="7"/>
        <v>#REF!</v>
      </c>
      <c r="G47" s="172" t="e">
        <f t="shared" si="7"/>
        <v>#REF!</v>
      </c>
      <c r="H47" s="173">
        <f t="shared" si="7"/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68"/>
      <c r="B48" s="177"/>
      <c r="C48" s="177"/>
      <c r="D48" s="177"/>
      <c r="E48" s="177"/>
      <c r="F48" s="177"/>
      <c r="G48" s="177"/>
      <c r="H48" s="15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189" t="s">
        <v>126</v>
      </c>
      <c r="B49" s="151" t="e">
        <f>IRR!#REF!</f>
        <v>#REF!</v>
      </c>
      <c r="C49" s="152" t="e">
        <f>IRR!#REF!</f>
        <v>#REF!</v>
      </c>
      <c r="D49" s="152" t="e">
        <f>IRR!#REF!</f>
        <v>#REF!</v>
      </c>
      <c r="E49" s="152" t="e">
        <f>IRR!#REF!</f>
        <v>#REF!</v>
      </c>
      <c r="F49" s="152" t="e">
        <f>IRR!#REF!</f>
        <v>#REF!</v>
      </c>
      <c r="G49" s="152" t="e">
        <f>IRR!#REF!</f>
        <v>#REF!</v>
      </c>
      <c r="H49" s="153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"/>
      <c r="B50" s="154"/>
      <c r="C50" s="154"/>
      <c r="D50" s="154"/>
      <c r="E50" s="154"/>
      <c r="F50" s="154"/>
      <c r="G50" s="154"/>
      <c r="H50" s="15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134" t="s">
        <v>127</v>
      </c>
      <c r="B51" s="152" t="e">
        <f>IRR!#REF!</f>
        <v>#REF!</v>
      </c>
      <c r="C51" s="152" t="e">
        <f>IRR!#REF!</f>
        <v>#REF!</v>
      </c>
      <c r="D51" s="152" t="e">
        <f>IRR!#REF!</f>
        <v>#REF!</v>
      </c>
      <c r="E51" s="152" t="e">
        <f>IRR!#REF!</f>
        <v>#REF!</v>
      </c>
      <c r="F51" s="152" t="e">
        <f>IRR!#REF!</f>
        <v>#REF!</v>
      </c>
      <c r="G51" s="152" t="e">
        <f>IRR!#REF!</f>
        <v>#REF!</v>
      </c>
      <c r="H51" s="153" t="e">
        <f>IRR!#REF!</f>
        <v>#REF!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8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51" t="s">
        <v>128</v>
      </c>
      <c r="B54" s="190" t="e">
        <f>IRR_HP1</f>
        <v>#REF!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51" t="s">
        <v>129</v>
      </c>
      <c r="B56" s="191" t="e">
        <f>Inflazione_HP1</f>
        <v>#REF!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118" t="s">
        <v>130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/>
    <row r="259" spans="1:26" ht="15.75" customHeight="1" x14ac:dyDescent="0.3"/>
    <row r="260" spans="1:26" ht="15.75" customHeight="1" x14ac:dyDescent="0.3"/>
    <row r="261" spans="1:26" ht="15.75" customHeight="1" x14ac:dyDescent="0.3"/>
    <row r="262" spans="1:26" ht="15.75" customHeight="1" x14ac:dyDescent="0.3"/>
    <row r="263" spans="1:26" ht="15.75" customHeight="1" x14ac:dyDescent="0.3"/>
    <row r="264" spans="1:26" ht="15.75" customHeight="1" x14ac:dyDescent="0.3"/>
    <row r="265" spans="1:26" ht="15.75" customHeight="1" x14ac:dyDescent="0.3"/>
    <row r="266" spans="1:26" ht="15.75" customHeight="1" x14ac:dyDescent="0.3"/>
    <row r="267" spans="1:26" ht="15.75" customHeight="1" x14ac:dyDescent="0.3"/>
    <row r="268" spans="1:26" ht="15.75" customHeight="1" x14ac:dyDescent="0.3"/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3"/>
  <cols>
    <col min="1" max="1" width="26.375" customWidth="1"/>
    <col min="2" max="8" width="4.875" customWidth="1"/>
    <col min="9" max="26" width="5.625" customWidth="1"/>
  </cols>
  <sheetData>
    <row r="1" spans="1:26" ht="13.5" customHeight="1" x14ac:dyDescent="0.3">
      <c r="A1" s="2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 x14ac:dyDescent="0.3">
      <c r="A2" s="149" t="s">
        <v>12</v>
      </c>
      <c r="B2" s="10">
        <v>1</v>
      </c>
      <c r="C2" s="53">
        <v>2</v>
      </c>
      <c r="D2" s="53">
        <v>3</v>
      </c>
      <c r="E2" s="53">
        <v>4</v>
      </c>
      <c r="F2" s="53">
        <v>5</v>
      </c>
      <c r="G2" s="176" t="str">
        <f>'Sintesi HP_1'!G2</f>
        <v>6-30</v>
      </c>
      <c r="H2" s="11">
        <v>31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3">
      <c r="A3" s="134" t="e">
        <f t="shared" ref="A3:G3" si="0">#REF!</f>
        <v>#REF!</v>
      </c>
      <c r="B3" s="151" t="e">
        <f t="shared" si="0"/>
        <v>#REF!</v>
      </c>
      <c r="C3" s="152" t="e">
        <f t="shared" si="0"/>
        <v>#REF!</v>
      </c>
      <c r="D3" s="152" t="e">
        <f t="shared" si="0"/>
        <v>#REF!</v>
      </c>
      <c r="E3" s="152" t="e">
        <f t="shared" si="0"/>
        <v>#REF!</v>
      </c>
      <c r="F3" s="152" t="e">
        <f t="shared" si="0"/>
        <v>#REF!</v>
      </c>
      <c r="G3" s="152" t="e">
        <f t="shared" si="0"/>
        <v>#REF!</v>
      </c>
      <c r="H3" s="153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7.5" customHeight="1" x14ac:dyDescent="0.3">
      <c r="A4" s="68"/>
      <c r="B4" s="154"/>
      <c r="C4" s="154"/>
      <c r="D4" s="154"/>
      <c r="E4" s="154"/>
      <c r="F4" s="154"/>
      <c r="G4" s="154"/>
      <c r="H4" s="15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3">
      <c r="A5" s="21" t="s">
        <v>15</v>
      </c>
      <c r="B5" s="155" t="e">
        <f t="shared" ref="B5:G5" si="1">#REF!</f>
        <v>#REF!</v>
      </c>
      <c r="C5" s="156" t="e">
        <f t="shared" si="1"/>
        <v>#REF!</v>
      </c>
      <c r="D5" s="156" t="e">
        <f t="shared" si="1"/>
        <v>#REF!</v>
      </c>
      <c r="E5" s="156" t="e">
        <f t="shared" si="1"/>
        <v>#REF!</v>
      </c>
      <c r="F5" s="156" t="e">
        <f t="shared" si="1"/>
        <v>#REF!</v>
      </c>
      <c r="G5" s="156" t="e">
        <f t="shared" si="1"/>
        <v>#REF!</v>
      </c>
      <c r="H5" s="157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3">
      <c r="A6" s="27" t="s">
        <v>16</v>
      </c>
      <c r="B6" s="158" t="e">
        <f t="shared" ref="B6:G6" si="2">#REF!</f>
        <v>#REF!</v>
      </c>
      <c r="C6" s="154" t="e">
        <f t="shared" si="2"/>
        <v>#REF!</v>
      </c>
      <c r="D6" s="154" t="e">
        <f t="shared" si="2"/>
        <v>#REF!</v>
      </c>
      <c r="E6" s="154" t="e">
        <f t="shared" si="2"/>
        <v>#REF!</v>
      </c>
      <c r="F6" s="154" t="e">
        <f t="shared" si="2"/>
        <v>#REF!</v>
      </c>
      <c r="G6" s="154" t="e">
        <f t="shared" si="2"/>
        <v>#REF!</v>
      </c>
      <c r="H6" s="15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3">
      <c r="A7" s="27" t="s">
        <v>19</v>
      </c>
      <c r="B7" s="158" t="e">
        <f t="shared" ref="B7:G7" si="3">#REF!</f>
        <v>#REF!</v>
      </c>
      <c r="C7" s="154" t="e">
        <f t="shared" si="3"/>
        <v>#REF!</v>
      </c>
      <c r="D7" s="154" t="e">
        <f t="shared" si="3"/>
        <v>#REF!</v>
      </c>
      <c r="E7" s="154" t="e">
        <f t="shared" si="3"/>
        <v>#REF!</v>
      </c>
      <c r="F7" s="154" t="e">
        <f t="shared" si="3"/>
        <v>#REF!</v>
      </c>
      <c r="G7" s="154" t="e">
        <f t="shared" si="3"/>
        <v>#REF!</v>
      </c>
      <c r="H7" s="15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3">
      <c r="A8" s="103" t="s">
        <v>107</v>
      </c>
      <c r="B8" s="162" t="e">
        <f t="shared" ref="B8:G8" si="4">#REF!</f>
        <v>#REF!</v>
      </c>
      <c r="C8" s="163" t="e">
        <f t="shared" si="4"/>
        <v>#REF!</v>
      </c>
      <c r="D8" s="163" t="e">
        <f t="shared" si="4"/>
        <v>#REF!</v>
      </c>
      <c r="E8" s="163" t="e">
        <f t="shared" si="4"/>
        <v>#REF!</v>
      </c>
      <c r="F8" s="163" t="e">
        <f t="shared" si="4"/>
        <v>#REF!</v>
      </c>
      <c r="G8" s="163" t="e">
        <f t="shared" si="4"/>
        <v>#REF!</v>
      </c>
      <c r="H8" s="164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3">
      <c r="A9" s="123" t="e">
        <f>#REF!</f>
        <v>#REF!</v>
      </c>
      <c r="B9" s="165" t="e">
        <f t="shared" ref="B9:H9" si="5">SUM(B5:B8)</f>
        <v>#REF!</v>
      </c>
      <c r="C9" s="167" t="e">
        <f t="shared" si="5"/>
        <v>#REF!</v>
      </c>
      <c r="D9" s="167" t="e">
        <f t="shared" si="5"/>
        <v>#REF!</v>
      </c>
      <c r="E9" s="167" t="e">
        <f t="shared" si="5"/>
        <v>#REF!</v>
      </c>
      <c r="F9" s="167" t="e">
        <f t="shared" si="5"/>
        <v>#REF!</v>
      </c>
      <c r="G9" s="167" t="e">
        <f t="shared" si="5"/>
        <v>#REF!</v>
      </c>
      <c r="H9" s="168">
        <f t="shared" si="5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129" t="s">
        <v>80</v>
      </c>
      <c r="B10" s="158" t="e">
        <f t="shared" ref="B10:G10" si="6">#REF!</f>
        <v>#REF!</v>
      </c>
      <c r="C10" s="154" t="e">
        <f t="shared" si="6"/>
        <v>#REF!</v>
      </c>
      <c r="D10" s="154" t="e">
        <f t="shared" si="6"/>
        <v>#REF!</v>
      </c>
      <c r="E10" s="154" t="e">
        <f t="shared" si="6"/>
        <v>#REF!</v>
      </c>
      <c r="F10" s="154" t="e">
        <f t="shared" si="6"/>
        <v>#REF!</v>
      </c>
      <c r="G10" s="154" t="e">
        <f t="shared" si="6"/>
        <v>#REF!</v>
      </c>
      <c r="H10" s="15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131" t="e">
        <f>#REF!</f>
        <v>#REF!</v>
      </c>
      <c r="B11" s="165" t="e">
        <f>IRR!#REF!</f>
        <v>#REF!</v>
      </c>
      <c r="C11" s="167" t="e">
        <f>IRR!#REF!</f>
        <v>#REF!</v>
      </c>
      <c r="D11" s="167">
        <f>IRR!B18</f>
        <v>0</v>
      </c>
      <c r="E11" s="167">
        <f>IRR!C18</f>
        <v>0</v>
      </c>
      <c r="F11" s="167">
        <f>IRR!D18</f>
        <v>0</v>
      </c>
      <c r="G11" s="167">
        <f>IRR!E18</f>
        <v>0</v>
      </c>
      <c r="H11" s="168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170" t="e">
        <f>#REF!</f>
        <v>#REF!</v>
      </c>
      <c r="B12" s="171" t="e">
        <f t="shared" ref="B12:H12" si="7">B11+B3+B9</f>
        <v>#REF!</v>
      </c>
      <c r="C12" s="172" t="e">
        <f t="shared" si="7"/>
        <v>#REF!</v>
      </c>
      <c r="D12" s="172" t="e">
        <f t="shared" si="7"/>
        <v>#REF!</v>
      </c>
      <c r="E12" s="172" t="e">
        <f t="shared" si="7"/>
        <v>#REF!</v>
      </c>
      <c r="F12" s="172" t="e">
        <f t="shared" si="7"/>
        <v>#REF!</v>
      </c>
      <c r="G12" s="172" t="e">
        <f t="shared" si="7"/>
        <v>#REF!</v>
      </c>
      <c r="H12" s="173">
        <f t="shared" si="7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3">
      <c r="A13" s="3"/>
      <c r="B13" s="154"/>
      <c r="C13" s="154"/>
      <c r="D13" s="154"/>
      <c r="E13" s="154"/>
      <c r="F13" s="154"/>
      <c r="G13" s="154"/>
      <c r="H13" s="15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3">
      <c r="A14" s="174" t="s">
        <v>110</v>
      </c>
      <c r="B14" s="10">
        <v>1</v>
      </c>
      <c r="C14" s="53">
        <v>2</v>
      </c>
      <c r="D14" s="53">
        <v>3</v>
      </c>
      <c r="E14" s="53">
        <v>4</v>
      </c>
      <c r="F14" s="53">
        <v>5</v>
      </c>
      <c r="G14" s="176" t="s">
        <v>104</v>
      </c>
      <c r="H14" s="11">
        <v>31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3">
      <c r="A15" s="175" t="s">
        <v>111</v>
      </c>
      <c r="B15" s="156" t="e">
        <f t="shared" ref="B15:G15" si="8">#REF!</f>
        <v>#REF!</v>
      </c>
      <c r="C15" s="156" t="e">
        <f t="shared" si="8"/>
        <v>#REF!</v>
      </c>
      <c r="D15" s="156" t="e">
        <f t="shared" si="8"/>
        <v>#REF!</v>
      </c>
      <c r="E15" s="156" t="e">
        <f t="shared" si="8"/>
        <v>#REF!</v>
      </c>
      <c r="F15" s="156" t="e">
        <f t="shared" si="8"/>
        <v>#REF!</v>
      </c>
      <c r="G15" s="156" t="e">
        <f t="shared" si="8"/>
        <v>#REF!</v>
      </c>
      <c r="H15" s="157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3">
      <c r="A16" s="129" t="s">
        <v>112</v>
      </c>
      <c r="B16" s="154" t="e">
        <f t="shared" ref="B16:G16" si="9">#REF!</f>
        <v>#REF!</v>
      </c>
      <c r="C16" s="154" t="e">
        <f t="shared" si="9"/>
        <v>#REF!</v>
      </c>
      <c r="D16" s="154" t="e">
        <f t="shared" si="9"/>
        <v>#REF!</v>
      </c>
      <c r="E16" s="154" t="e">
        <f t="shared" si="9"/>
        <v>#REF!</v>
      </c>
      <c r="F16" s="154" t="e">
        <f t="shared" si="9"/>
        <v>#REF!</v>
      </c>
      <c r="G16" s="154" t="e">
        <f t="shared" si="9"/>
        <v>#REF!</v>
      </c>
      <c r="H16" s="15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3">
      <c r="A17" s="76" t="s">
        <v>113</v>
      </c>
      <c r="B17" s="154" t="e">
        <f t="shared" ref="B17:G17" si="10">#REF!</f>
        <v>#REF!</v>
      </c>
      <c r="C17" s="154" t="e">
        <f t="shared" si="10"/>
        <v>#REF!</v>
      </c>
      <c r="D17" s="154" t="e">
        <f t="shared" si="10"/>
        <v>#REF!</v>
      </c>
      <c r="E17" s="154" t="e">
        <f t="shared" si="10"/>
        <v>#REF!</v>
      </c>
      <c r="F17" s="154" t="e">
        <f t="shared" si="10"/>
        <v>#REF!</v>
      </c>
      <c r="G17" s="154" t="e">
        <f t="shared" si="10"/>
        <v>#REF!</v>
      </c>
      <c r="H17" s="159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3">
      <c r="A18" s="76" t="s">
        <v>114</v>
      </c>
      <c r="B18" s="154" t="e">
        <f t="shared" ref="B18:G18" si="11">#REF!</f>
        <v>#REF!</v>
      </c>
      <c r="C18" s="154" t="e">
        <f t="shared" si="11"/>
        <v>#REF!</v>
      </c>
      <c r="D18" s="154" t="e">
        <f t="shared" si="11"/>
        <v>#REF!</v>
      </c>
      <c r="E18" s="154" t="e">
        <f t="shared" si="11"/>
        <v>#REF!</v>
      </c>
      <c r="F18" s="154" t="e">
        <f t="shared" si="11"/>
        <v>#REF!</v>
      </c>
      <c r="G18" s="154" t="e">
        <f t="shared" si="11"/>
        <v>#REF!</v>
      </c>
      <c r="H18" s="15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3">
      <c r="A19" s="76" t="s">
        <v>115</v>
      </c>
      <c r="B19" s="154" t="e">
        <f t="shared" ref="B19:G19" si="12">#REF!</f>
        <v>#REF!</v>
      </c>
      <c r="C19" s="154" t="e">
        <f t="shared" si="12"/>
        <v>#REF!</v>
      </c>
      <c r="D19" s="154" t="e">
        <f t="shared" si="12"/>
        <v>#REF!</v>
      </c>
      <c r="E19" s="154" t="e">
        <f t="shared" si="12"/>
        <v>#REF!</v>
      </c>
      <c r="F19" s="154" t="e">
        <f t="shared" si="12"/>
        <v>#REF!</v>
      </c>
      <c r="G19" s="154" t="e">
        <f t="shared" si="12"/>
        <v>#REF!</v>
      </c>
      <c r="H19" s="15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76" t="s">
        <v>116</v>
      </c>
      <c r="B20" s="154" t="e">
        <f t="shared" ref="B20:G20" si="13">#REF!</f>
        <v>#REF!</v>
      </c>
      <c r="C20" s="154" t="e">
        <f t="shared" si="13"/>
        <v>#REF!</v>
      </c>
      <c r="D20" s="154" t="e">
        <f t="shared" si="13"/>
        <v>#REF!</v>
      </c>
      <c r="E20" s="154" t="e">
        <f t="shared" si="13"/>
        <v>#REF!</v>
      </c>
      <c r="F20" s="154" t="e">
        <f t="shared" si="13"/>
        <v>#REF!</v>
      </c>
      <c r="G20" s="154" t="e">
        <f t="shared" si="13"/>
        <v>#REF!</v>
      </c>
      <c r="H20" s="15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">
      <c r="A21" s="76" t="s">
        <v>117</v>
      </c>
      <c r="B21" s="154" t="e">
        <f t="shared" ref="B21:G21" si="14">#REF!</f>
        <v>#REF!</v>
      </c>
      <c r="C21" s="154" t="e">
        <f t="shared" si="14"/>
        <v>#REF!</v>
      </c>
      <c r="D21" s="154" t="e">
        <f t="shared" si="14"/>
        <v>#REF!</v>
      </c>
      <c r="E21" s="154" t="e">
        <f t="shared" si="14"/>
        <v>#REF!</v>
      </c>
      <c r="F21" s="154" t="e">
        <f t="shared" si="14"/>
        <v>#REF!</v>
      </c>
      <c r="G21" s="154" t="e">
        <f t="shared" si="14"/>
        <v>#REF!</v>
      </c>
      <c r="H21" s="15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3">
      <c r="A22" s="134" t="e">
        <f>#REF!</f>
        <v>#REF!</v>
      </c>
      <c r="B22" s="152" t="e">
        <f t="shared" ref="B22:H22" si="15">B21+B20+B19+B18+B17+B16+B15</f>
        <v>#REF!</v>
      </c>
      <c r="C22" s="152" t="e">
        <f t="shared" si="15"/>
        <v>#REF!</v>
      </c>
      <c r="D22" s="152" t="e">
        <f t="shared" si="15"/>
        <v>#REF!</v>
      </c>
      <c r="E22" s="152" t="e">
        <f t="shared" si="15"/>
        <v>#REF!</v>
      </c>
      <c r="F22" s="152" t="e">
        <f t="shared" si="15"/>
        <v>#REF!</v>
      </c>
      <c r="G22" s="152" t="e">
        <f t="shared" si="15"/>
        <v>#REF!</v>
      </c>
      <c r="H22" s="153">
        <f t="shared" si="15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5.25" customHeight="1" x14ac:dyDescent="0.3">
      <c r="A23" s="31"/>
      <c r="B23" s="177"/>
      <c r="C23" s="177"/>
      <c r="D23" s="177"/>
      <c r="E23" s="177"/>
      <c r="F23" s="177"/>
      <c r="G23" s="177"/>
      <c r="H23" s="15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175" t="s">
        <v>36</v>
      </c>
      <c r="B24" s="155" t="e">
        <f t="shared" ref="B24:G24" si="16">#REF!</f>
        <v>#REF!</v>
      </c>
      <c r="C24" s="156" t="e">
        <f t="shared" si="16"/>
        <v>#REF!</v>
      </c>
      <c r="D24" s="156" t="e">
        <f t="shared" si="16"/>
        <v>#REF!</v>
      </c>
      <c r="E24" s="156" t="e">
        <f t="shared" si="16"/>
        <v>#REF!</v>
      </c>
      <c r="F24" s="156" t="e">
        <f t="shared" si="16"/>
        <v>#REF!</v>
      </c>
      <c r="G24" s="156" t="e">
        <f t="shared" si="16"/>
        <v>#REF!</v>
      </c>
      <c r="H24" s="157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3">
      <c r="A25" s="27" t="s">
        <v>118</v>
      </c>
      <c r="B25" s="158" t="e">
        <f t="shared" ref="B25:G25" si="17">#REF!</f>
        <v>#REF!</v>
      </c>
      <c r="C25" s="154" t="e">
        <f t="shared" si="17"/>
        <v>#REF!</v>
      </c>
      <c r="D25" s="154" t="e">
        <f t="shared" si="17"/>
        <v>#REF!</v>
      </c>
      <c r="E25" s="154" t="e">
        <f t="shared" si="17"/>
        <v>#REF!</v>
      </c>
      <c r="F25" s="154" t="e">
        <f t="shared" si="17"/>
        <v>#REF!</v>
      </c>
      <c r="G25" s="154" t="e">
        <f t="shared" si="17"/>
        <v>#REF!</v>
      </c>
      <c r="H25" s="15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27" t="s">
        <v>119</v>
      </c>
      <c r="B26" s="158" t="e">
        <f t="shared" ref="B26:G26" si="18">#REF!</f>
        <v>#REF!</v>
      </c>
      <c r="C26" s="154" t="e">
        <f t="shared" si="18"/>
        <v>#REF!</v>
      </c>
      <c r="D26" s="154" t="e">
        <f t="shared" si="18"/>
        <v>#REF!</v>
      </c>
      <c r="E26" s="154" t="e">
        <f t="shared" si="18"/>
        <v>#REF!</v>
      </c>
      <c r="F26" s="154" t="e">
        <f t="shared" si="18"/>
        <v>#REF!</v>
      </c>
      <c r="G26" s="154" t="e">
        <f t="shared" si="18"/>
        <v>#REF!</v>
      </c>
      <c r="H26" s="15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129" t="s">
        <v>43</v>
      </c>
      <c r="B27" s="158" t="e">
        <f t="shared" ref="B27:G27" si="19">#REF!</f>
        <v>#REF!</v>
      </c>
      <c r="C27" s="154" t="e">
        <f t="shared" si="19"/>
        <v>#REF!</v>
      </c>
      <c r="D27" s="154" t="e">
        <f t="shared" si="19"/>
        <v>#REF!</v>
      </c>
      <c r="E27" s="154" t="e">
        <f t="shared" si="19"/>
        <v>#REF!</v>
      </c>
      <c r="F27" s="154" t="e">
        <f t="shared" si="19"/>
        <v>#REF!</v>
      </c>
      <c r="G27" s="154" t="e">
        <f t="shared" si="19"/>
        <v>#REF!</v>
      </c>
      <c r="H27" s="159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3">
      <c r="A28" s="130" t="s">
        <v>45</v>
      </c>
      <c r="B28" s="162" t="e">
        <f t="shared" ref="B28:G28" si="20">#REF!</f>
        <v>#REF!</v>
      </c>
      <c r="C28" s="163" t="e">
        <f t="shared" si="20"/>
        <v>#REF!</v>
      </c>
      <c r="D28" s="163" t="e">
        <f t="shared" si="20"/>
        <v>#REF!</v>
      </c>
      <c r="E28" s="163" t="e">
        <f t="shared" si="20"/>
        <v>#REF!</v>
      </c>
      <c r="F28" s="163" t="e">
        <f t="shared" si="20"/>
        <v>#REF!</v>
      </c>
      <c r="G28" s="163" t="e">
        <f t="shared" si="20"/>
        <v>#REF!</v>
      </c>
      <c r="H28" s="164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3">
      <c r="A29" s="134" t="e">
        <f>#REF!</f>
        <v>#REF!</v>
      </c>
      <c r="B29" s="151" t="e">
        <f t="shared" ref="B29:H29" si="21">SUM(B24:B28)</f>
        <v>#REF!</v>
      </c>
      <c r="C29" s="152" t="e">
        <f t="shared" si="21"/>
        <v>#REF!</v>
      </c>
      <c r="D29" s="152" t="e">
        <f t="shared" si="21"/>
        <v>#REF!</v>
      </c>
      <c r="E29" s="152" t="e">
        <f t="shared" si="21"/>
        <v>#REF!</v>
      </c>
      <c r="F29" s="152" t="e">
        <f t="shared" si="21"/>
        <v>#REF!</v>
      </c>
      <c r="G29" s="152" t="e">
        <f t="shared" si="21"/>
        <v>#REF!</v>
      </c>
      <c r="H29" s="153">
        <f t="shared" si="2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6" customHeight="1" x14ac:dyDescent="0.3">
      <c r="A30" s="180"/>
      <c r="B30" s="177"/>
      <c r="C30" s="177"/>
      <c r="D30" s="177"/>
      <c r="E30" s="177"/>
      <c r="F30" s="177"/>
      <c r="G30" s="177"/>
      <c r="H30" s="18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182" t="s">
        <v>120</v>
      </c>
      <c r="B31" s="171" t="e">
        <f t="shared" ref="B31:H31" si="22">B29+B22</f>
        <v>#REF!</v>
      </c>
      <c r="C31" s="172" t="e">
        <f t="shared" si="22"/>
        <v>#REF!</v>
      </c>
      <c r="D31" s="172" t="e">
        <f t="shared" si="22"/>
        <v>#REF!</v>
      </c>
      <c r="E31" s="172" t="e">
        <f t="shared" si="22"/>
        <v>#REF!</v>
      </c>
      <c r="F31" s="172" t="e">
        <f t="shared" si="22"/>
        <v>#REF!</v>
      </c>
      <c r="G31" s="172" t="e">
        <f t="shared" si="22"/>
        <v>#REF!</v>
      </c>
      <c r="H31" s="183">
        <f t="shared" si="22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3"/>
      <c r="B32" s="154"/>
      <c r="C32" s="154"/>
      <c r="D32" s="154"/>
      <c r="E32" s="154"/>
      <c r="F32" s="154"/>
      <c r="G32" s="154"/>
      <c r="H32" s="15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174" t="s">
        <v>62</v>
      </c>
      <c r="B33" s="10">
        <v>1</v>
      </c>
      <c r="C33" s="53">
        <v>2</v>
      </c>
      <c r="D33" s="53">
        <v>3</v>
      </c>
      <c r="E33" s="53">
        <v>4</v>
      </c>
      <c r="F33" s="53">
        <v>5</v>
      </c>
      <c r="G33" s="176" t="s">
        <v>104</v>
      </c>
      <c r="H33" s="11">
        <v>31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175" t="s">
        <v>57</v>
      </c>
      <c r="B34" s="155" t="e">
        <f t="shared" ref="B34:G34" si="23">#REF!</f>
        <v>#REF!</v>
      </c>
      <c r="C34" s="156" t="e">
        <f t="shared" si="23"/>
        <v>#REF!</v>
      </c>
      <c r="D34" s="156" t="e">
        <f t="shared" si="23"/>
        <v>#REF!</v>
      </c>
      <c r="E34" s="156" t="e">
        <f t="shared" si="23"/>
        <v>#REF!</v>
      </c>
      <c r="F34" s="156" t="e">
        <f t="shared" si="23"/>
        <v>#REF!</v>
      </c>
      <c r="G34" s="156" t="e">
        <f t="shared" si="23"/>
        <v>#REF!</v>
      </c>
      <c r="H34" s="157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129" t="s">
        <v>68</v>
      </c>
      <c r="B35" s="158" t="e">
        <f t="shared" ref="B35:G35" si="24">#REF!</f>
        <v>#REF!</v>
      </c>
      <c r="C35" s="154" t="e">
        <f t="shared" si="24"/>
        <v>#REF!</v>
      </c>
      <c r="D35" s="154" t="e">
        <f t="shared" si="24"/>
        <v>#REF!</v>
      </c>
      <c r="E35" s="154" t="e">
        <f t="shared" si="24"/>
        <v>#REF!</v>
      </c>
      <c r="F35" s="154" t="e">
        <f t="shared" si="24"/>
        <v>#REF!</v>
      </c>
      <c r="G35" s="154" t="e">
        <f t="shared" si="24"/>
        <v>#REF!</v>
      </c>
      <c r="H35" s="15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129" t="s">
        <v>83</v>
      </c>
      <c r="B36" s="158" t="e">
        <f t="shared" ref="B36:G36" si="25">#REF!</f>
        <v>#REF!</v>
      </c>
      <c r="C36" s="154" t="e">
        <f t="shared" si="25"/>
        <v>#REF!</v>
      </c>
      <c r="D36" s="154" t="e">
        <f t="shared" si="25"/>
        <v>#REF!</v>
      </c>
      <c r="E36" s="154" t="e">
        <f t="shared" si="25"/>
        <v>#REF!</v>
      </c>
      <c r="F36" s="154" t="e">
        <f t="shared" si="25"/>
        <v>#REF!</v>
      </c>
      <c r="G36" s="154" t="e">
        <f t="shared" si="25"/>
        <v>#REF!</v>
      </c>
      <c r="H36" s="15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129" t="s">
        <v>84</v>
      </c>
      <c r="B37" s="158" t="e">
        <f t="shared" ref="B37:G37" si="26">#REF!</f>
        <v>#REF!</v>
      </c>
      <c r="C37" s="154" t="e">
        <f t="shared" si="26"/>
        <v>#REF!</v>
      </c>
      <c r="D37" s="154" t="e">
        <f t="shared" si="26"/>
        <v>#REF!</v>
      </c>
      <c r="E37" s="154" t="e">
        <f t="shared" si="26"/>
        <v>#REF!</v>
      </c>
      <c r="F37" s="154" t="e">
        <f t="shared" si="26"/>
        <v>#REF!</v>
      </c>
      <c r="G37" s="154" t="e">
        <f t="shared" si="26"/>
        <v>#REF!</v>
      </c>
      <c r="H37" s="159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129" t="s">
        <v>85</v>
      </c>
      <c r="B38" s="158" t="e">
        <f t="shared" ref="B38:G38" si="27">#REF!</f>
        <v>#REF!</v>
      </c>
      <c r="C38" s="154" t="e">
        <f t="shared" si="27"/>
        <v>#REF!</v>
      </c>
      <c r="D38" s="154" t="e">
        <f t="shared" si="27"/>
        <v>#REF!</v>
      </c>
      <c r="E38" s="154" t="e">
        <f t="shared" si="27"/>
        <v>#REF!</v>
      </c>
      <c r="F38" s="154" t="e">
        <f t="shared" si="27"/>
        <v>#REF!</v>
      </c>
      <c r="G38" s="154" t="e">
        <f t="shared" si="27"/>
        <v>#REF!</v>
      </c>
      <c r="H38" s="15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129" t="s">
        <v>59</v>
      </c>
      <c r="B39" s="158" t="e">
        <f t="shared" ref="B39:G39" si="28">#REF!</f>
        <v>#REF!</v>
      </c>
      <c r="C39" s="154" t="e">
        <f t="shared" si="28"/>
        <v>#REF!</v>
      </c>
      <c r="D39" s="154" t="e">
        <f t="shared" si="28"/>
        <v>#REF!</v>
      </c>
      <c r="E39" s="154" t="e">
        <f t="shared" si="28"/>
        <v>#REF!</v>
      </c>
      <c r="F39" s="154" t="e">
        <f t="shared" si="28"/>
        <v>#REF!</v>
      </c>
      <c r="G39" s="154" t="e">
        <f t="shared" si="28"/>
        <v>#REF!</v>
      </c>
      <c r="H39" s="15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130" t="s">
        <v>86</v>
      </c>
      <c r="B40" s="162" t="e">
        <f t="shared" ref="B40:G40" si="29">#REF!</f>
        <v>#REF!</v>
      </c>
      <c r="C40" s="163" t="e">
        <f t="shared" si="29"/>
        <v>#REF!</v>
      </c>
      <c r="D40" s="163" t="e">
        <f t="shared" si="29"/>
        <v>#REF!</v>
      </c>
      <c r="E40" s="163" t="e">
        <f t="shared" si="29"/>
        <v>#REF!</v>
      </c>
      <c r="F40" s="163" t="e">
        <f t="shared" si="29"/>
        <v>#REF!</v>
      </c>
      <c r="G40" s="163" t="e">
        <f t="shared" si="29"/>
        <v>#REF!</v>
      </c>
      <c r="H40" s="164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123" t="e">
        <f>#REF!</f>
        <v>#REF!</v>
      </c>
      <c r="B41" s="165" t="e">
        <f t="shared" ref="B41:H41" si="30">SUM(B34:B40)</f>
        <v>#REF!</v>
      </c>
      <c r="C41" s="167" t="e">
        <f t="shared" si="30"/>
        <v>#REF!</v>
      </c>
      <c r="D41" s="167" t="e">
        <f t="shared" si="30"/>
        <v>#REF!</v>
      </c>
      <c r="E41" s="167" t="e">
        <f t="shared" si="30"/>
        <v>#REF!</v>
      </c>
      <c r="F41" s="167" t="e">
        <f t="shared" si="30"/>
        <v>#REF!</v>
      </c>
      <c r="G41" s="167" t="e">
        <f t="shared" si="30"/>
        <v>#REF!</v>
      </c>
      <c r="H41" s="168">
        <f t="shared" si="30"/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129" t="e">
        <f>'Sintesi HP_1'!A43</f>
        <v>#REF!</v>
      </c>
      <c r="B42" s="158" t="e">
        <f t="shared" ref="B42:G42" si="31">#REF!</f>
        <v>#REF!</v>
      </c>
      <c r="C42" s="154" t="e">
        <f t="shared" si="31"/>
        <v>#REF!</v>
      </c>
      <c r="D42" s="154" t="e">
        <f t="shared" si="31"/>
        <v>#REF!</v>
      </c>
      <c r="E42" s="154" t="e">
        <f t="shared" si="31"/>
        <v>#REF!</v>
      </c>
      <c r="F42" s="154" t="e">
        <f t="shared" si="31"/>
        <v>#REF!</v>
      </c>
      <c r="G42" s="154" t="e">
        <f t="shared" si="31"/>
        <v>#REF!</v>
      </c>
      <c r="H42" s="15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129" t="e">
        <f>'Sintesi HP_1'!A44</f>
        <v>#REF!</v>
      </c>
      <c r="B43" s="162" t="e">
        <f t="shared" ref="B43:G43" si="32">#REF!</f>
        <v>#REF!</v>
      </c>
      <c r="C43" s="163" t="e">
        <f t="shared" si="32"/>
        <v>#REF!</v>
      </c>
      <c r="D43" s="163" t="e">
        <f t="shared" si="32"/>
        <v>#REF!</v>
      </c>
      <c r="E43" s="163" t="e">
        <f t="shared" si="32"/>
        <v>#REF!</v>
      </c>
      <c r="F43" s="163" t="e">
        <f t="shared" si="32"/>
        <v>#REF!</v>
      </c>
      <c r="G43" s="163" t="e">
        <f t="shared" si="32"/>
        <v>#REF!</v>
      </c>
      <c r="H43" s="164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134" t="e">
        <f>'Sintesi HP_1'!A45</f>
        <v>#REF!</v>
      </c>
      <c r="B44" s="151" t="e">
        <f t="shared" ref="B44:H44" si="33">B43+B42</f>
        <v>#REF!</v>
      </c>
      <c r="C44" s="152" t="e">
        <f t="shared" si="33"/>
        <v>#REF!</v>
      </c>
      <c r="D44" s="152" t="e">
        <f t="shared" si="33"/>
        <v>#REF!</v>
      </c>
      <c r="E44" s="152" t="e">
        <f t="shared" si="33"/>
        <v>#REF!</v>
      </c>
      <c r="F44" s="152" t="e">
        <f t="shared" si="33"/>
        <v>#REF!</v>
      </c>
      <c r="G44" s="152" t="e">
        <f t="shared" si="33"/>
        <v>#REF!</v>
      </c>
      <c r="H44" s="153">
        <f t="shared" si="33"/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6" customHeight="1" x14ac:dyDescent="0.3">
      <c r="A45" s="180"/>
      <c r="B45" s="177"/>
      <c r="C45" s="188"/>
      <c r="D45" s="177"/>
      <c r="E45" s="177"/>
      <c r="F45" s="177"/>
      <c r="G45" s="177"/>
      <c r="H45" s="17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182" t="str">
        <f>'Sintesi HP_1'!A47</f>
        <v>FCFO lordo</v>
      </c>
      <c r="B46" s="171" t="e">
        <f t="shared" ref="B46:H46" si="34">+B44+B41</f>
        <v>#REF!</v>
      </c>
      <c r="C46" s="172" t="e">
        <f t="shared" si="34"/>
        <v>#REF!</v>
      </c>
      <c r="D46" s="172" t="e">
        <f t="shared" si="34"/>
        <v>#REF!</v>
      </c>
      <c r="E46" s="172" t="e">
        <f t="shared" si="34"/>
        <v>#REF!</v>
      </c>
      <c r="F46" s="172" t="e">
        <f t="shared" si="34"/>
        <v>#REF!</v>
      </c>
      <c r="G46" s="172" t="e">
        <f t="shared" si="34"/>
        <v>#REF!</v>
      </c>
      <c r="H46" s="173">
        <f t="shared" si="34"/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68"/>
      <c r="B47" s="177"/>
      <c r="C47" s="177"/>
      <c r="D47" s="177"/>
      <c r="E47" s="177"/>
      <c r="F47" s="177"/>
      <c r="G47" s="177"/>
      <c r="H47" s="15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189" t="s">
        <v>126</v>
      </c>
      <c r="B48" s="151" t="e">
        <f t="shared" ref="B48:G48" si="35">#REF!</f>
        <v>#REF!</v>
      </c>
      <c r="C48" s="152" t="e">
        <f t="shared" si="35"/>
        <v>#REF!</v>
      </c>
      <c r="D48" s="152" t="e">
        <f t="shared" si="35"/>
        <v>#REF!</v>
      </c>
      <c r="E48" s="152" t="e">
        <f t="shared" si="35"/>
        <v>#REF!</v>
      </c>
      <c r="F48" s="152" t="e">
        <f t="shared" si="35"/>
        <v>#REF!</v>
      </c>
      <c r="G48" s="152" t="e">
        <f t="shared" si="35"/>
        <v>#REF!</v>
      </c>
      <c r="H48" s="153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"/>
      <c r="B49" s="154"/>
      <c r="C49" s="154"/>
      <c r="D49" s="154"/>
      <c r="E49" s="154"/>
      <c r="F49" s="154"/>
      <c r="G49" s="154"/>
      <c r="H49" s="15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134" t="s">
        <v>127</v>
      </c>
      <c r="B50" s="152" t="e">
        <f t="shared" ref="B50:H50" si="36">#REF!</f>
        <v>#REF!</v>
      </c>
      <c r="C50" s="152" t="e">
        <f t="shared" si="36"/>
        <v>#REF!</v>
      </c>
      <c r="D50" s="152" t="e">
        <f t="shared" si="36"/>
        <v>#REF!</v>
      </c>
      <c r="E50" s="152" t="e">
        <f t="shared" si="36"/>
        <v>#REF!</v>
      </c>
      <c r="F50" s="152" t="e">
        <f t="shared" si="36"/>
        <v>#REF!</v>
      </c>
      <c r="G50" s="152" t="e">
        <f t="shared" si="36"/>
        <v>#REF!</v>
      </c>
      <c r="H50" s="153" t="e">
        <f t="shared" si="36"/>
        <v>#REF!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8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51" t="s">
        <v>128</v>
      </c>
      <c r="B53" s="190" t="e">
        <f>#REF!</f>
        <v>#REF!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51" t="s">
        <v>129</v>
      </c>
      <c r="B55" s="191" t="e">
        <f>Inflazione_HP1</f>
        <v>#REF!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118" t="s">
        <v>130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7</vt:i4>
      </vt:variant>
    </vt:vector>
  </HeadingPairs>
  <TitlesOfParts>
    <vt:vector size="21" baseType="lpstr">
      <vt:lpstr>Variabili per unità misura</vt:lpstr>
      <vt:lpstr>Variabili gestione Residenza</vt:lpstr>
      <vt:lpstr>Costi-Ricavi_Anno1</vt:lpstr>
      <vt:lpstr>Costi-Ricavi_Anno2e3</vt:lpstr>
      <vt:lpstr>Costi-Ricavi_Anno4_5_6</vt:lpstr>
      <vt:lpstr>Var temp</vt:lpstr>
      <vt:lpstr>IRR</vt:lpstr>
      <vt:lpstr>Sintesi HP_1</vt:lpstr>
      <vt:lpstr>Sintesi HP_2</vt:lpstr>
      <vt:lpstr>CAPM</vt:lpstr>
      <vt:lpstr>Foglio5</vt:lpstr>
      <vt:lpstr>Foglio3</vt:lpstr>
      <vt:lpstr>Pres_ottica Ca' Foscari</vt:lpstr>
      <vt:lpstr>Foglio1</vt:lpstr>
      <vt:lpstr>'Costi-Ricavi_Anno1'!Area_stampa</vt:lpstr>
      <vt:lpstr>'Costi-Ricavi_Anno2e3'!Area_stampa</vt:lpstr>
      <vt:lpstr>'Costi-Ricavi_Anno4_5_6'!Area_stampa</vt:lpstr>
      <vt:lpstr>IRR!Area_stampa</vt:lpstr>
      <vt:lpstr>'Var temp'!Area_stampa</vt:lpstr>
      <vt:lpstr>'Variabili gestione Residenza'!Area_stampa</vt:lpstr>
      <vt:lpstr>'Variabili per unità misura'!Area_stampa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 Laura</dc:creator>
  <cp:lastModifiedBy>TIOZZO Cesare</cp:lastModifiedBy>
  <cp:lastPrinted>2020-01-27T11:00:40Z</cp:lastPrinted>
  <dcterms:created xsi:type="dcterms:W3CDTF">2019-06-17T10:11:11Z</dcterms:created>
  <dcterms:modified xsi:type="dcterms:W3CDTF">2020-02-13T13:18:34Z</dcterms:modified>
</cp:coreProperties>
</file>